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S:\POLA\Research\AnnualTaxPublications\Renter Credit\2024\"/>
    </mc:Choice>
  </mc:AlternateContent>
  <xr:revisionPtr revIDLastSave="0" documentId="13_ncr:1_{A794FA33-34B1-431F-BFAB-5B8E1C111FBA}" xr6:coauthVersionLast="47" xr6:coauthVersionMax="47" xr10:uidLastSave="{00000000-0000-0000-0000-000000000000}"/>
  <bookViews>
    <workbookView xWindow="-24120" yWindow="-1155" windowWidth="24240" windowHeight="13140" tabRatio="808" xr2:uid="{138E8051-98A3-4393-8D4C-8322A0F69605}"/>
  </bookViews>
  <sheets>
    <sheet name="Calculator" sheetId="8" r:id="rId1"/>
    <sheet name="Income" sheetId="12" r:id="rId2"/>
    <sheet name="By Inc Bracket" sheetId="1" state="hidden" r:id="rId3"/>
    <sheet name="2024 Income Limits" sheetId="3" r:id="rId4"/>
    <sheet name="Base Credit Amounts" sheetId="2" r:id="rId5"/>
  </sheets>
  <externalReferences>
    <externalReference r:id="rId6"/>
  </externalReferences>
  <definedNames>
    <definedName name="_0_Bedrooms">'Base Credit Amounts'!#REF!</definedName>
    <definedName name="_1_Bedrooms">'Base Credit Amounts'!#REF!</definedName>
    <definedName name="_2_Bedrooms">'Base Credit Amounts'!#REF!</definedName>
    <definedName name="_3_Bedrooms">'Base Credit Amounts'!#REF!</definedName>
    <definedName name="_4_Bedrooms">'Base Credit Amounts'!#REF!</definedName>
    <definedName name="Addison">'Base Credit Amounts'!#REF!</definedName>
    <definedName name="AllocableRentPercentage">'Base Credit Amounts'!#REF!</definedName>
    <definedName name="Annual_Income" localSheetId="0">Calculator!#REF!</definedName>
    <definedName name="Annual_Income_Analysis">'By Inc Bracket'!$G$53</definedName>
    <definedName name="Base_Credit" localSheetId="0">Calculator!$G$13</definedName>
    <definedName name="Base_Credit_Analysis">'By Inc Bracket'!$P$17</definedName>
    <definedName name="Base_Credit_Subsidized">Calculator!$G$14</definedName>
    <definedName name="Base_Rebate_Amount" localSheetId="0">Calculator!$G$13</definedName>
    <definedName name="Base_Rebate_Amount">'By Inc Bracket'!$P$17</definedName>
    <definedName name="Bennington">'Base Credit Amounts'!#REF!</definedName>
    <definedName name="Burlington_Metro">'Base Credit Amounts'!#REF!</definedName>
    <definedName name="Caledonia">'Base Credit Amounts'!#REF!</definedName>
    <definedName name="Counties" localSheetId="0">#REF!</definedName>
    <definedName name="Counties">#REF!</definedName>
    <definedName name="County" localSheetId="0">Calculator!$G$4</definedName>
    <definedName name="County">'By Inc Bracket'!$M$13</definedName>
    <definedName name="Current_Rebate_Amt" localSheetId="0">Calculator!#REF!</definedName>
    <definedName name="Current_Rebate_Amt">'By Inc Bracket'!$G$60</definedName>
    <definedName name="EligibilityRate">[1]Analysis!$E$6</definedName>
    <definedName name="ELIThreshold" localSheetId="0">Calculator!$G$12</definedName>
    <definedName name="ELIThreshold">'By Inc Bracket'!$P$15</definedName>
    <definedName name="Essex">'Base Credit Amounts'!#REF!</definedName>
    <definedName name="Household_Size" localSheetId="0">Calculator!$G$5</definedName>
    <definedName name="Household_Size_Analysis">'By Inc Bracket'!$M$21</definedName>
    <definedName name="IncomeBand" localSheetId="0">Calculator!#REF!</definedName>
    <definedName name="IncomeBand">'By Inc Bracket'!$G$11</definedName>
    <definedName name="Lamoille">'Base Credit Amounts'!#REF!</definedName>
    <definedName name="MaxCredit">'Base Credit Amounts'!#REF!</definedName>
    <definedName name="Monthly_Rent" localSheetId="0">Calculator!#REF!</definedName>
    <definedName name="Monthly_Rent_Analysis">'By Inc Bracket'!$G$54</definedName>
    <definedName name="Orange">'Base Credit Amounts'!#REF!</definedName>
    <definedName name="Orleans">'Base Credit Amounts'!#REF!</definedName>
    <definedName name="Percent_Rebate_Claimable" localSheetId="0">Calculator!$G$15</definedName>
    <definedName name="Percent_Rebate_Claimable_Analysis">'By Inc Bracket'!$P$18</definedName>
    <definedName name="_xlnm.Print_Area" localSheetId="0">Calculator!$A$1:$G$18</definedName>
    <definedName name="Reform_Rebate_Amount" localSheetId="0">Calculator!$G$17</definedName>
    <definedName name="Reform_Rebate_Amount">'By Inc Bracket'!$M$24</definedName>
    <definedName name="Rutland">'Base Credit Amounts'!#REF!</definedName>
    <definedName name="SharedOccupant">Calculator!$G$6</definedName>
    <definedName name="TakeUpRate">[1]Analysis!$E$7</definedName>
    <definedName name="TCensusRenters">'[1]Census Data'!$D$6:$S$16</definedName>
    <definedName name="VLIThreshold" localSheetId="0">Calculator!$G$11</definedName>
    <definedName name="VLIThreshold">'By Inc Bracket'!$P$14</definedName>
    <definedName name="Washington">'Base Credit Amounts'!#REF!</definedName>
    <definedName name="Windham">'Base Credit Amounts'!#REF!</definedName>
    <definedName name="Windsor">'Base Credit Amounts'!#REF!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8" l="1"/>
  <c r="I10" i="12"/>
  <c r="G12" i="8" l="1"/>
  <c r="G11" i="8"/>
  <c r="G15" i="8" l="1"/>
  <c r="G13" i="8" a="1"/>
  <c r="G13" i="8" s="1"/>
  <c r="A12" i="8"/>
  <c r="A11" i="8"/>
  <c r="G17" i="8" l="1"/>
  <c r="A13" i="8"/>
  <c r="G55" i="1" a="1"/>
  <c r="G55" i="1" s="1"/>
  <c r="G57" i="1" s="1"/>
  <c r="G58" i="1" s="1"/>
  <c r="G18" i="1"/>
  <c r="G11" i="1" s="1"/>
  <c r="B58" i="1" s="1"/>
  <c r="G19" i="1" l="1"/>
  <c r="B56" i="1"/>
  <c r="G20" i="1"/>
  <c r="G21" i="1" s="1"/>
  <c r="B57" i="1"/>
  <c r="G56" i="1"/>
  <c r="B19" i="1"/>
  <c r="B20" i="1"/>
  <c r="B21" i="1"/>
  <c r="B13" i="1" l="1"/>
  <c r="P15" i="1"/>
  <c r="P14" i="1"/>
  <c r="P17" i="1" a="1"/>
  <c r="P17" i="1" s="1"/>
  <c r="L30" i="1" a="1"/>
  <c r="L30" i="1" s="1"/>
  <c r="L31" i="1" a="1"/>
  <c r="L31" i="1" s="1"/>
  <c r="L32" i="1" a="1"/>
  <c r="L32" i="1" s="1"/>
  <c r="L29" i="1" a="1"/>
  <c r="L29" i="1" s="1"/>
  <c r="O17" i="1"/>
  <c r="P16" i="1"/>
  <c r="O14" i="1"/>
  <c r="O15" i="1"/>
  <c r="O13" i="1"/>
  <c r="O11" i="1"/>
  <c r="O8" i="1"/>
  <c r="M11" i="1"/>
  <c r="P13" i="1" l="1"/>
  <c r="P18" i="1" l="1"/>
  <c r="M24" i="1" s="1"/>
  <c r="G60" i="1" l="1"/>
  <c r="K30" i="1" l="1"/>
  <c r="K29" i="1"/>
  <c r="K32" i="1"/>
  <c r="K3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<sst xmlns="http://schemas.openxmlformats.org/spreadsheetml/2006/main" count="132" uniqueCount="76">
  <si>
    <t>Renter Rebate Reform Sandbox Calculator</t>
  </si>
  <si>
    <t>County</t>
  </si>
  <si>
    <t>1</t>
  </si>
  <si>
    <t>2</t>
  </si>
  <si>
    <t>3</t>
  </si>
  <si>
    <t>4</t>
  </si>
  <si>
    <t>Addison</t>
  </si>
  <si>
    <t>Bennington</t>
  </si>
  <si>
    <t>Caledonia</t>
  </si>
  <si>
    <t>Essex</t>
  </si>
  <si>
    <t>Lamoille</t>
  </si>
  <si>
    <t>Orange</t>
  </si>
  <si>
    <t>Orleans</t>
  </si>
  <si>
    <t>Rutland</t>
  </si>
  <si>
    <t>Washington</t>
  </si>
  <si>
    <t>Windham</t>
  </si>
  <si>
    <t>Windsor</t>
  </si>
  <si>
    <t>Household Size</t>
  </si>
  <si>
    <t>5</t>
  </si>
  <si>
    <t>6</t>
  </si>
  <si>
    <t>7</t>
  </si>
  <si>
    <t>8</t>
  </si>
  <si>
    <t>Family Size</t>
  </si>
  <si>
    <t>Reform Renter Rebate Amount</t>
  </si>
  <si>
    <t>Current Renter Rebate Program</t>
  </si>
  <si>
    <t>Renter Rebate Reform Proposal</t>
  </si>
  <si>
    <t xml:space="preserve">Monthly Allocable Rent Payment </t>
  </si>
  <si>
    <t xml:space="preserve">The current renter rebate payment is a function of household income and the allocable rent only. It does not change based on the family size or the location of the claimant. The current plan is structured with a rebate "cliff" - individuals earning under $47,000 can be entitled to substantial benefits while similar individuals earning just over $47,000 are entitled to none. </t>
  </si>
  <si>
    <t>Current Renter Rebate Amount</t>
  </si>
  <si>
    <t>The reform plan would calculate the rebate as a function of household income, household size, and county.</t>
  </si>
  <si>
    <t>Household Annual Gross Income</t>
  </si>
  <si>
    <t>Modified Household Annual Gross Income</t>
  </si>
  <si>
    <t>Obs</t>
  </si>
  <si>
    <t>Percent of Rebate Claimable Based on Given Income</t>
  </si>
  <si>
    <t>Median Inc</t>
  </si>
  <si>
    <t>Very Low Inc</t>
  </si>
  <si>
    <t>Extremely Low Inc</t>
  </si>
  <si>
    <t>Given Income</t>
  </si>
  <si>
    <t>Current Rebate Amount</t>
  </si>
  <si>
    <t>Reform Rebate Amount</t>
  </si>
  <si>
    <t>header</t>
  </si>
  <si>
    <t>ID</t>
  </si>
  <si>
    <t>Spinner ID</t>
  </si>
  <si>
    <t xml:space="preserve">Household Annual Gross Income </t>
  </si>
  <si>
    <t>Discrete Calculator</t>
  </si>
  <si>
    <t>Household Annual Gross Income Bracket</t>
  </si>
  <si>
    <t>YOU DON'T GET TO CHOOSE RENT, WE TELL YOU WHAT AVERAGE RENT IS AND THEN YOU GET TO SEE WHY HOUSEHOLD SIZE MATTERS, BUT I NEED TO FIGURE OUT HOW TO DO A THIRD DIMENSION.</t>
  </si>
  <si>
    <t>Number of Bedrooms</t>
  </si>
  <si>
    <t>Calculator</t>
  </si>
  <si>
    <t>Franklin</t>
  </si>
  <si>
    <t>Grand Isle</t>
  </si>
  <si>
    <t xml:space="preserve">Chittenden </t>
  </si>
  <si>
    <t>Family Size: count yourself + jointly filed spouse (if any) + dependents (if any)</t>
  </si>
  <si>
    <t>Total Income (from 1040 line 9)</t>
  </si>
  <si>
    <t>Tax-exempt interest (1040 line 2a)</t>
  </si>
  <si>
    <t>Sum</t>
  </si>
  <si>
    <t>75% of nontaxable social security benefits (75% of the difference between 1040 line 6a and 6b)</t>
  </si>
  <si>
    <t>Select the county you live in (click on the cell then the little arrow and choose from the drop down)</t>
  </si>
  <si>
    <t>Addback of any losses (total any losses reported on 1040 schedule 1 lines 3-6, 8a, and 1040 line 7)</t>
  </si>
  <si>
    <t>YES</t>
  </si>
  <si>
    <t>NO</t>
  </si>
  <si>
    <t>Base Credit for Subsidized Renter</t>
  </si>
  <si>
    <t>Do you share the rental unit with another adult who is not your spouse? (Select "YES" or "NO")</t>
  </si>
  <si>
    <t>Estimated Credit Amount</t>
  </si>
  <si>
    <t>Enter the sum from cell on the right in bold on the calculator tab, line 3</t>
  </si>
  <si>
    <t>Was your rent subsidized? (answer next two questions if it was)</t>
  </si>
  <si>
    <t>If you answered yes to the last question, enter an estimate of the rent you actually paid over the period you were subsidized after any subsidy/relief and any included utilities and services</t>
  </si>
  <si>
    <t>2024 Partial Credit Income Limits by County</t>
  </si>
  <si>
    <t>2024 Full Credit Income Limits by County</t>
  </si>
  <si>
    <t>Your income amounts will come directly from your 2024 federal income tax return, form 1040</t>
  </si>
  <si>
    <t>If you are using this calculator before you have filed your 2024 income taxes, use your 2023 return to estimate</t>
  </si>
  <si>
    <t>2024 Renter Credit (claims filed in 2025 tax filing season)</t>
  </si>
  <si>
    <t>Enter your estimated 2024 annual income (see "INCOME" tab for exact formula)</t>
  </si>
  <si>
    <t>Months rented in 2024 (enter number between 6 and 12)</t>
  </si>
  <si>
    <t>Months your rent was subsidized in 2024 (enter number between 1 and 12)</t>
  </si>
  <si>
    <t>2024 Credit Amounts Based on HUD Data Based on Number of Bedrooms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</si>
</sst>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#\+"/>
    <numFmt numFmtId="167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Demi"/>
      <family val="2"/>
    </font>
    <font>
      <sz val="12"/>
      <color theme="1"/>
      <name val="Franklin Gothic Demi"/>
      <family val="2"/>
    </font>
    <font>
      <sz val="20"/>
      <color theme="1"/>
      <name val="Franklin Gothic Demi"/>
      <family val="2"/>
    </font>
    <font>
      <u/>
      <sz val="11"/>
      <color theme="10"/>
      <name val="Calibri"/>
      <family val="2"/>
      <scheme val="minor"/>
    </font>
    <font>
      <sz val="11"/>
      <color theme="6"/>
      <name val="Franklin Gothic Demi"/>
      <family val="2"/>
    </font>
    <font>
      <sz val="11"/>
      <color theme="0"/>
      <name val="Franklin Gothic Demi"/>
      <family val="2"/>
    </font>
    <font>
      <u/>
      <sz val="8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theme="1" tint="0.499984740745262"/>
      <name val="Arial Narrow"/>
      <family val="2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77111117893"/>
      <name val="Arial Narrow"/>
      <family val="2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53763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5" applyNumberFormat="0" applyFill="0" applyAlignment="0" applyProtection="0"/>
    <xf numFmtId="0" fontId="11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165" fontId="0" fillId="0" borderId="0" xfId="1" applyNumberFormat="1" applyFont="1"/>
    <xf numFmtId="165" fontId="0" fillId="3" borderId="0" xfId="1" applyNumberFormat="1" applyFont="1" applyFill="1" applyBorder="1"/>
    <xf numFmtId="0" fontId="8" fillId="0" borderId="0" xfId="2" applyFont="1" applyAlignment="1">
      <alignment horizontal="right"/>
    </xf>
    <xf numFmtId="0" fontId="0" fillId="3" borderId="0" xfId="0" applyFill="1"/>
    <xf numFmtId="165" fontId="0" fillId="0" borderId="0" xfId="1" applyNumberFormat="1" applyFont="1" applyBorder="1"/>
    <xf numFmtId="0" fontId="7" fillId="2" borderId="0" xfId="0" applyFont="1" applyFill="1" applyAlignment="1">
      <alignment horizontal="center" vertical="center"/>
    </xf>
    <xf numFmtId="6" fontId="0" fillId="4" borderId="1" xfId="0" applyNumberFormat="1" applyFill="1" applyBorder="1"/>
    <xf numFmtId="6" fontId="0" fillId="4" borderId="1" xfId="0" applyNumberFormat="1" applyFill="1" applyBorder="1" applyAlignment="1">
      <alignment horizontal="center"/>
    </xf>
    <xf numFmtId="0" fontId="9" fillId="0" borderId="5" xfId="5"/>
    <xf numFmtId="8" fontId="0" fillId="0" borderId="0" xfId="0" applyNumberFormat="1"/>
    <xf numFmtId="6" fontId="0" fillId="0" borderId="0" xfId="0" applyNumberFormat="1"/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6" fontId="0" fillId="0" borderId="15" xfId="0" applyNumberFormat="1" applyBorder="1"/>
    <xf numFmtId="6" fontId="0" fillId="6" borderId="0" xfId="0" applyNumberFormat="1" applyFill="1"/>
    <xf numFmtId="6" fontId="0" fillId="6" borderId="15" xfId="0" applyNumberFormat="1" applyFill="1" applyBorder="1"/>
    <xf numFmtId="0" fontId="12" fillId="7" borderId="7" xfId="0" applyFont="1" applyFill="1" applyBorder="1"/>
    <xf numFmtId="0" fontId="12" fillId="7" borderId="8" xfId="0" applyFont="1" applyFill="1" applyBorder="1"/>
    <xf numFmtId="0" fontId="0" fillId="8" borderId="21" xfId="0" applyFill="1" applyBorder="1"/>
    <xf numFmtId="6" fontId="0" fillId="8" borderId="19" xfId="0" applyNumberFormat="1" applyFill="1" applyBorder="1"/>
    <xf numFmtId="1" fontId="0" fillId="4" borderId="1" xfId="0" applyNumberFormat="1" applyFill="1" applyBorder="1"/>
    <xf numFmtId="6" fontId="0" fillId="6" borderId="17" xfId="0" applyNumberFormat="1" applyFill="1" applyBorder="1"/>
    <xf numFmtId="6" fontId="0" fillId="6" borderId="18" xfId="0" applyNumberFormat="1" applyFill="1" applyBorder="1"/>
    <xf numFmtId="0" fontId="13" fillId="9" borderId="22" xfId="0" applyFont="1" applyFill="1" applyBorder="1"/>
    <xf numFmtId="6" fontId="13" fillId="10" borderId="24" xfId="0" applyNumberFormat="1" applyFont="1" applyFill="1" applyBorder="1"/>
    <xf numFmtId="0" fontId="12" fillId="7" borderId="6" xfId="0" applyFont="1" applyFill="1" applyBorder="1" applyAlignment="1">
      <alignment horizontal="left" indent="1"/>
    </xf>
    <xf numFmtId="0" fontId="13" fillId="9" borderId="23" xfId="0" applyFont="1" applyFill="1" applyBorder="1" applyAlignment="1">
      <alignment horizontal="left" indent="1"/>
    </xf>
    <xf numFmtId="0" fontId="0" fillId="8" borderId="20" xfId="0" applyFill="1" applyBorder="1" applyAlignment="1">
      <alignment horizontal="left" indent="1"/>
    </xf>
    <xf numFmtId="9" fontId="0" fillId="0" borderId="0" xfId="0" applyNumberFormat="1"/>
    <xf numFmtId="0" fontId="11" fillId="0" borderId="10" xfId="6"/>
    <xf numFmtId="0" fontId="14" fillId="0" borderId="0" xfId="0" applyFont="1"/>
    <xf numFmtId="6" fontId="15" fillId="0" borderId="0" xfId="0" applyNumberFormat="1" applyFont="1"/>
    <xf numFmtId="0" fontId="0" fillId="0" borderId="14" xfId="0" applyBorder="1" applyAlignment="1">
      <alignment horizontal="center"/>
    </xf>
    <xf numFmtId="0" fontId="0" fillId="6" borderId="14" xfId="0" applyFill="1" applyBorder="1" applyAlignment="1">
      <alignment horizontal="center"/>
    </xf>
    <xf numFmtId="166" fontId="0" fillId="6" borderId="16" xfId="0" applyNumberForma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top" wrapText="1"/>
    </xf>
    <xf numFmtId="0" fontId="12" fillId="7" borderId="3" xfId="0" applyFont="1" applyFill="1" applyBorder="1"/>
    <xf numFmtId="0" fontId="13" fillId="9" borderId="0" xfId="0" applyFont="1" applyFill="1" applyAlignment="1">
      <alignment horizontal="left" indent="1"/>
    </xf>
    <xf numFmtId="0" fontId="13" fillId="9" borderId="0" xfId="0" applyFont="1" applyFill="1"/>
    <xf numFmtId="6" fontId="13" fillId="10" borderId="0" xfId="0" applyNumberFormat="1" applyFont="1" applyFill="1"/>
    <xf numFmtId="0" fontId="16" fillId="0" borderId="0" xfId="0" applyFont="1" applyAlignment="1">
      <alignment vertical="top" wrapText="1"/>
    </xf>
    <xf numFmtId="0" fontId="17" fillId="0" borderId="0" xfId="0" applyFont="1"/>
    <xf numFmtId="0" fontId="18" fillId="11" borderId="6" xfId="0" applyFont="1" applyFill="1" applyBorder="1" applyAlignment="1">
      <alignment horizontal="left" indent="1"/>
    </xf>
    <xf numFmtId="0" fontId="18" fillId="11" borderId="1" xfId="0" applyFont="1" applyFill="1" applyBorder="1" applyAlignment="1">
      <alignment horizontal="left" indent="1"/>
    </xf>
    <xf numFmtId="0" fontId="18" fillId="11" borderId="1" xfId="0" applyFont="1" applyFill="1" applyBorder="1"/>
    <xf numFmtId="165" fontId="18" fillId="11" borderId="1" xfId="0" applyNumberFormat="1" applyFont="1" applyFill="1" applyBorder="1" applyAlignment="1">
      <alignment horizontal="right" indent="1"/>
    </xf>
    <xf numFmtId="0" fontId="18" fillId="11" borderId="8" xfId="0" applyFont="1" applyFill="1" applyBorder="1" applyAlignment="1">
      <alignment horizontal="right" indent="1"/>
    </xf>
    <xf numFmtId="0" fontId="12" fillId="7" borderId="2" xfId="0" applyFont="1" applyFill="1" applyBorder="1" applyAlignment="1">
      <alignment horizontal="left" indent="1"/>
    </xf>
    <xf numFmtId="0" fontId="12" fillId="7" borderId="4" xfId="0" applyFont="1" applyFill="1" applyBorder="1"/>
    <xf numFmtId="0" fontId="18" fillId="11" borderId="25" xfId="0" applyFont="1" applyFill="1" applyBorder="1" applyAlignment="1">
      <alignment horizontal="left" indent="1"/>
    </xf>
    <xf numFmtId="0" fontId="18" fillId="11" borderId="25" xfId="0" applyFont="1" applyFill="1" applyBorder="1"/>
    <xf numFmtId="0" fontId="18" fillId="11" borderId="7" xfId="0" applyFont="1" applyFill="1" applyBorder="1" applyAlignment="1">
      <alignment horizontal="centerContinuous"/>
    </xf>
    <xf numFmtId="0" fontId="18" fillId="11" borderId="8" xfId="0" applyFont="1" applyFill="1" applyBorder="1" applyAlignment="1">
      <alignment horizontal="centerContinuous"/>
    </xf>
    <xf numFmtId="0" fontId="12" fillId="7" borderId="7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20" fillId="7" borderId="30" xfId="0" applyFont="1" applyFill="1" applyBorder="1" applyAlignment="1">
      <alignment horizontal="left" vertical="center" indent="1"/>
    </xf>
    <xf numFmtId="0" fontId="21" fillId="0" borderId="5" xfId="5" applyFont="1"/>
    <xf numFmtId="0" fontId="22" fillId="11" borderId="30" xfId="0" applyFont="1" applyFill="1" applyBorder="1" applyAlignment="1">
      <alignment horizontal="left" vertical="center" indent="1"/>
    </xf>
    <xf numFmtId="0" fontId="22" fillId="11" borderId="7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horizontal="center" vertical="center"/>
    </xf>
    <xf numFmtId="165" fontId="22" fillId="11" borderId="29" xfId="0" applyNumberFormat="1" applyFont="1" applyFill="1" applyBorder="1" applyAlignment="1">
      <alignment horizontal="right" vertical="center" indent="2"/>
    </xf>
    <xf numFmtId="0" fontId="22" fillId="11" borderId="32" xfId="0" applyFont="1" applyFill="1" applyBorder="1" applyAlignment="1">
      <alignment horizontal="left" vertical="center" indent="1"/>
    </xf>
    <xf numFmtId="0" fontId="22" fillId="11" borderId="33" xfId="0" applyFont="1" applyFill="1" applyBorder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165" fontId="22" fillId="11" borderId="31" xfId="0" applyNumberFormat="1" applyFont="1" applyFill="1" applyBorder="1" applyAlignment="1">
      <alignment horizontal="right" vertical="center" indent="2"/>
    </xf>
    <xf numFmtId="0" fontId="22" fillId="11" borderId="27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22" fillId="11" borderId="26" xfId="0" applyFont="1" applyFill="1" applyBorder="1" applyAlignment="1">
      <alignment horizontal="left" vertical="center"/>
    </xf>
    <xf numFmtId="0" fontId="22" fillId="11" borderId="32" xfId="0" applyFont="1" applyFill="1" applyBorder="1" applyAlignment="1">
      <alignment horizontal="left" vertical="center"/>
    </xf>
    <xf numFmtId="165" fontId="22" fillId="11" borderId="35" xfId="0" applyNumberFormat="1" applyFont="1" applyFill="1" applyBorder="1" applyAlignment="1">
      <alignment horizontal="right" vertical="center" indent="2"/>
    </xf>
    <xf numFmtId="9" fontId="22" fillId="11" borderId="36" xfId="0" applyNumberFormat="1" applyFont="1" applyFill="1" applyBorder="1" applyAlignment="1">
      <alignment horizontal="right" vertical="center" indent="1"/>
    </xf>
    <xf numFmtId="164" fontId="0" fillId="0" borderId="0" xfId="4" applyNumberFormat="1" applyFont="1" applyProtection="1"/>
    <xf numFmtId="0" fontId="5" fillId="0" borderId="0" xfId="2" applyAlignment="1">
      <alignment horizontal="righ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5" fillId="0" borderId="0" xfId="2" applyProtection="1"/>
    <xf numFmtId="0" fontId="5" fillId="0" borderId="0" xfId="2" applyAlignment="1" applyProtection="1">
      <alignment horizontal="right"/>
    </xf>
    <xf numFmtId="0" fontId="23" fillId="0" borderId="2" xfId="0" applyFont="1" applyBorder="1" applyAlignment="1">
      <alignment horizontal="centerContinuous"/>
    </xf>
    <xf numFmtId="0" fontId="1" fillId="0" borderId="0" xfId="3"/>
    <xf numFmtId="0" fontId="2" fillId="0" borderId="0" xfId="3" applyFont="1" applyAlignment="1">
      <alignment horizontal="center" vertical="center"/>
    </xf>
    <xf numFmtId="166" fontId="2" fillId="0" borderId="0" xfId="3" applyNumberFormat="1" applyFont="1" applyAlignment="1">
      <alignment horizontal="center" vertical="center"/>
    </xf>
    <xf numFmtId="6" fontId="19" fillId="10" borderId="29" xfId="0" applyNumberFormat="1" applyFont="1" applyFill="1" applyBorder="1" applyAlignment="1" applyProtection="1">
      <alignment horizontal="center" vertical="center"/>
      <protection locked="0"/>
    </xf>
    <xf numFmtId="1" fontId="19" fillId="10" borderId="29" xfId="0" applyNumberFormat="1" applyFont="1" applyFill="1" applyBorder="1" applyAlignment="1" applyProtection="1">
      <alignment horizontal="center" vertical="center"/>
      <protection locked="0"/>
    </xf>
    <xf numFmtId="0" fontId="20" fillId="7" borderId="20" xfId="0" applyFont="1" applyFill="1" applyBorder="1" applyAlignment="1">
      <alignment horizontal="left" vertical="center"/>
    </xf>
    <xf numFmtId="0" fontId="12" fillId="7" borderId="21" xfId="0" applyFont="1" applyFill="1" applyBorder="1" applyAlignment="1">
      <alignment vertical="center"/>
    </xf>
    <xf numFmtId="6" fontId="24" fillId="7" borderId="19" xfId="0" applyNumberFormat="1" applyFont="1" applyFill="1" applyBorder="1" applyAlignment="1">
      <alignment horizontal="center" vertical="center"/>
    </xf>
    <xf numFmtId="165" fontId="0" fillId="3" borderId="0" xfId="1" applyNumberFormat="1" applyFont="1" applyFill="1"/>
    <xf numFmtId="0" fontId="0" fillId="0" borderId="0" xfId="0" applyAlignment="1">
      <alignment horizontal="left"/>
    </xf>
    <xf numFmtId="167" fontId="0" fillId="0" borderId="1" xfId="0" applyNumberFormat="1" applyBorder="1"/>
    <xf numFmtId="167" fontId="0" fillId="0" borderId="0" xfId="0" applyNumberFormat="1"/>
    <xf numFmtId="167" fontId="26" fillId="0" borderId="1" xfId="7" applyNumberFormat="1" applyFont="1" applyBorder="1"/>
    <xf numFmtId="0" fontId="22" fillId="11" borderId="14" xfId="0" applyFont="1" applyFill="1" applyBorder="1" applyAlignment="1">
      <alignment horizontal="left" vertical="center"/>
    </xf>
    <xf numFmtId="0" fontId="22" fillId="11" borderId="0" xfId="0" applyFont="1" applyFill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165" fontId="22" fillId="11" borderId="15" xfId="0" applyNumberFormat="1" applyFont="1" applyFill="1" applyBorder="1" applyAlignment="1">
      <alignment horizontal="right" vertical="center" indent="2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vertical="top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</cellXfs>
  <cellStyles count="8">
    <cellStyle name="Comma" xfId="1" builtinId="3"/>
    <cellStyle name="Currency" xfId="7" builtinId="4"/>
    <cellStyle name="Currency 2" xfId="4" xr:uid="{AEA7E5F6-2BC3-41CD-BE69-C2428B31F07D}"/>
    <cellStyle name="Heading 1" xfId="5" builtinId="16"/>
    <cellStyle name="Heading 2" xfId="6" builtinId="17"/>
    <cellStyle name="Hyperlink" xfId="2" builtinId="8"/>
    <cellStyle name="Normal" xfId="0" builtinId="0"/>
    <cellStyle name="Normal 2" xfId="3" xr:uid="{EDFE6BA9-9304-4AAB-86AD-0653E50CDB9B}"/>
  </cellStyles>
  <dxfs count="39">
    <dxf>
      <fill>
        <patternFill>
          <bgColor theme="7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Franklin Gothic Demi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ill>
        <patternFill patternType="solid">
          <fgColor indexed="64"/>
          <bgColor theme="0" tint="-0.14996795556505021"/>
        </patternFill>
      </fill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Demi"/>
        <family val="2"/>
        <scheme val="none"/>
      </font>
      <fill>
        <patternFill patternType="solid">
          <fgColor indexed="64"/>
          <bgColor rgb="FF53763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fill>
        <patternFill patternType="solid">
          <fgColor indexed="64"/>
          <bgColor theme="0" tint="-0.14996795556505021"/>
        </patternFill>
      </fill>
    </dxf>
    <dxf>
      <fill>
        <patternFill patternType="solid">
          <fgColor indexed="64"/>
          <bgColor theme="0" tint="-0.1499679555650502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Demi"/>
        <family val="2"/>
        <scheme val="none"/>
      </font>
      <fill>
        <patternFill patternType="solid">
          <fgColor indexed="64"/>
          <bgColor rgb="FF537636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537636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VTStateColorThemeTable" pivot="0" count="3" xr9:uid="{0DE09BB3-CA0D-4592-8715-8619F9157E53}">
      <tableStyleElement type="wholeTable" dxfId="38"/>
      <tableStyleElement type="headerRow" dxfId="37"/>
      <tableStyleElement type="secondRowStripe" dxfId="36"/>
    </tableStyle>
  </tableStyles>
  <colors>
    <mruColors>
      <color rgb="FF537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'By Inc Bracket'!$O$8</c:f>
          <c:strCache>
            <c:ptCount val="1"/>
            <c:pt idx="0">
              <c:v>Windsor County - Median Income and Very Low &amp; Extremely Low Income Thresholds (Annual)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'By Inc Bracket'!$P$11</c:f>
              <c:strCache>
                <c:ptCount val="1"/>
                <c:pt idx="0">
                  <c:v>header</c:v>
                </c:pt>
              </c:strCache>
            </c:strRef>
          </c:tx>
          <c:spPr>
            <a:ln w="25400">
              <a:noFill/>
            </a:ln>
          </c:spPr>
          <c:marker>
            <c:symbol val="dash"/>
            <c:size val="46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68-445B-BE92-5E01B011E9C9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4A68-445B-BE92-5E01B011E9C9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4A68-445B-BE92-5E01B011E9C9}"/>
              </c:ext>
            </c:extLst>
          </c:dPt>
          <c:dPt>
            <c:idx val="3"/>
            <c:marker>
              <c:symbol val="dash"/>
              <c:size val="64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68-445B-BE92-5E01B011E9C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8BA5A6C-60F9-4D03-8734-055E69FF06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323912595788"/>
                      <c:h val="5.18377260899123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A68-445B-BE92-5E01B011E9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183ABFC-32EB-4456-B9F7-907F26CA20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63566404006021"/>
                      <c:h val="5.18377260899123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A68-445B-BE92-5E01B011E9C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BE4A926-3D24-4F14-ABF0-3B229AB7E3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452225208918176"/>
                      <c:h val="5.18377260899123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A68-445B-BE92-5E01B011E9C9}"/>
                </c:ext>
              </c:extLst>
            </c:dLbl>
            <c:dLbl>
              <c:idx val="3"/>
              <c:layout>
                <c:manualLayout>
                  <c:x val="-0.47089952190720985"/>
                  <c:y val="2.0043222217243769E-3"/>
                </c:manualLayout>
              </c:layout>
              <c:tx>
                <c:rich>
                  <a:bodyPr/>
                  <a:lstStyle/>
                  <a:p>
                    <a:fld id="{4EDD7498-6005-47D2-B873-75BFDCA0B5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04566935108009"/>
                      <c:h val="5.18377260899123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A68-445B-BE92-5E01B011E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ranklin Gothic Demi"/>
                    <a:ea typeface="Franklin Gothic Demi"/>
                    <a:cs typeface="Franklin Gothic Dem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'By Inc Bracket'!$Q$13:$Q$16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xVal>
          <c:yVal>
            <c:numRef>
              <c:f>'By Inc Bracket'!$P$13:$P$16</c:f>
              <c:numCache>
                <c:formatCode>"$"#,##0_);[Red]\("$"#,##0\)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37000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'By Inc Bracket'!$R$13:$R$16</c15:f>
                <c15:dlblRangeCache>
                  <c:ptCount val="4"/>
                  <c:pt idx="0">
                    <c:v>Median Inc</c:v>
                  </c:pt>
                  <c:pt idx="1">
                    <c:v>Very Low Inc</c:v>
                  </c:pt>
                  <c:pt idx="2">
                    <c:v>Extremely Low Inc</c:v>
                  </c:pt>
                  <c:pt idx="3">
                    <c:v>Given Income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A68-445B-BE92-5E01B011E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3958543"/>
        <c:axId val="1860082271"/>
      </c:scatterChart>
      <c:valAx>
        <c:axId val="1813958543"/>
        <c:scaling>
          <c:orientation val="minMax"/>
          <c:max val="1.4"/>
          <c:min val="0.60000000000000009"/>
        </c:scaling>
        <c:delete val="1"/>
        <c:axPos val="b"/>
        <c:numFmt formatCode="General" sourceLinked="1"/>
        <c:majorTickMark val="out"/>
        <c:minorTickMark val="none"/>
        <c:tickLblPos val="nextTo"/>
        <c:crossAx val="1860082271"/>
        <c:crosses val="autoZero"/>
        <c:crossBetween val="midCat"/>
      </c:valAx>
      <c:valAx>
        <c:axId val="1860082271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Franklin Gothic Demi"/>
                    <a:ea typeface="Franklin Gothic Demi"/>
                    <a:cs typeface="Franklin Gothic Demi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Annual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Modified </a:t>
                </a:r>
                <a:r>
                  <a:rPr lang="en-US">
                    <a:solidFill>
                      <a:sysClr val="windowText" lastClr="000000"/>
                    </a:solidFill>
                  </a:rPr>
                  <a:t>Gross Income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&gt;999.5]#,##0,&quot;k&quot;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813958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22" fmlaLink="$G$17" max="9" min="1" page="10" val="2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2211774</xdr:colOff>
      <xdr:row>6</xdr:row>
      <xdr:rowOff>288790</xdr:rowOff>
    </xdr:from>
    <xdr:to>
      <xdr:col>5</xdr:col>
      <xdr:colOff>2264062</xdr:colOff>
      <xdr:row>6</xdr:row>
      <xdr:rowOff>340224</xdr:rowOff>
    </xdr:to>
    <xdr:sp macro="" textlink="">
      <xdr:nvSpPr>
        <xdr:cNvPr id="4" name="Right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5597496" y="2149272"/>
          <a:ext cx="52288" cy="45719"/>
        </a:xfrm>
        <a:prstGeom prst="rtTriangl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1279239</xdr:colOff>
      <xdr:row>16</xdr:row>
      <xdr:rowOff>12515</xdr:rowOff>
    </xdr:from>
    <xdr:to>
      <xdr:col>6</xdr:col>
      <xdr:colOff>1313528</xdr:colOff>
      <xdr:row>16</xdr:row>
      <xdr:rowOff>59641</xdr:rowOff>
    </xdr:to>
    <xdr:sp macro="" textlink="">
      <xdr:nvSpPr>
        <xdr:cNvPr id="13" name="Right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12604136" y="4761877"/>
          <a:ext cx="45719" cy="47126"/>
        </a:xfrm>
        <a:prstGeom prst="rtTriangle">
          <a:avLst/>
        </a:prstGeom>
        <a:solidFill>
          <a:schemeClr val="tx2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257609</xdr:colOff>
      <xdr:row>1</xdr:row>
      <xdr:rowOff>205103</xdr:rowOff>
    </xdr:from>
    <xdr:to>
      <xdr:col>23</xdr:col>
      <xdr:colOff>67234</xdr:colOff>
      <xdr:row>31</xdr:row>
      <xdr:rowOff>187924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8</xdr:row>
          <xdr:rowOff>45720</xdr:rowOff>
        </xdr:from>
        <xdr:to>
          <xdr:col>7</xdr:col>
          <xdr:colOff>411480</xdr:colOff>
          <xdr:row>10</xdr:row>
          <xdr:rowOff>114300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A/Research/Sean%20Morris/Renter%20Rebate%20Validating/Renter%20Rebate%20-%20Analysis%20of%20New%20Claimants_V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nalysis"/>
      <sheetName val="HH Inc - Renters vs. Owners "/>
      <sheetName val="Income Eligibility by County"/>
      <sheetName val="Claim &amp; Payment Assumptions"/>
      <sheetName val="Rebate Amounts"/>
      <sheetName val="Demographic Assumptions"/>
      <sheetName val="Census Data"/>
    </sheetNames>
    <sheetDataSet>
      <sheetData sheetId="0"/>
      <sheetData sheetId="1">
        <row r="6">
          <cell r="E6">
            <v>0.25</v>
          </cell>
        </row>
        <row r="7">
          <cell r="E7">
            <v>0.33</v>
          </cell>
        </row>
      </sheetData>
      <sheetData sheetId="2"/>
      <sheetData sheetId="3"/>
      <sheetData sheetId="4"/>
      <sheetData sheetId="5"/>
      <sheetData sheetId="6"/>
      <sheetData sheetId="7">
        <row r="6">
          <cell r="D6" t="str">
            <v>Rutland</v>
          </cell>
          <cell r="E6" t="str">
            <v>Orleans</v>
          </cell>
          <cell r="F6" t="str">
            <v>Grand Isle</v>
          </cell>
          <cell r="G6" t="str">
            <v>Orange</v>
          </cell>
          <cell r="H6" t="str">
            <v>Chittenden</v>
          </cell>
          <cell r="I6" t="str">
            <v>Lamoille</v>
          </cell>
          <cell r="J6" t="str">
            <v>Windsor</v>
          </cell>
          <cell r="K6" t="str">
            <v>Franklin</v>
          </cell>
          <cell r="L6" t="str">
            <v>Caledonia</v>
          </cell>
          <cell r="M6" t="str">
            <v>Windham</v>
          </cell>
          <cell r="N6" t="str">
            <v>Bennington</v>
          </cell>
          <cell r="O6" t="str">
            <v>Addison</v>
          </cell>
          <cell r="P6" t="str">
            <v>Essex</v>
          </cell>
          <cell r="Q6" t="str">
            <v>Washington</v>
          </cell>
          <cell r="R6" t="str">
            <v>Burlington Metro</v>
          </cell>
          <cell r="S6" t="str">
            <v>Vermont</v>
          </cell>
        </row>
        <row r="7">
          <cell r="D7">
            <v>25160</v>
          </cell>
          <cell r="E7">
            <v>11498</v>
          </cell>
          <cell r="F7">
            <v>2952</v>
          </cell>
          <cell r="G7">
            <v>12275</v>
          </cell>
          <cell r="H7">
            <v>64906</v>
          </cell>
          <cell r="I7">
            <v>10401</v>
          </cell>
          <cell r="J7">
            <v>24121</v>
          </cell>
          <cell r="K7">
            <v>18649</v>
          </cell>
          <cell r="L7">
            <v>12094</v>
          </cell>
          <cell r="M7">
            <v>19059</v>
          </cell>
          <cell r="N7">
            <v>15280</v>
          </cell>
          <cell r="O7">
            <v>14701</v>
          </cell>
          <cell r="P7">
            <v>2720</v>
          </cell>
          <cell r="Q7">
            <v>24719</v>
          </cell>
          <cell r="R7">
            <v>86507</v>
          </cell>
          <cell r="S7">
            <v>258535</v>
          </cell>
        </row>
        <row r="8">
          <cell r="D8">
            <v>443</v>
          </cell>
          <cell r="E8">
            <v>248</v>
          </cell>
          <cell r="F8">
            <v>120</v>
          </cell>
          <cell r="G8">
            <v>257</v>
          </cell>
          <cell r="H8">
            <v>552</v>
          </cell>
          <cell r="I8">
            <v>310</v>
          </cell>
          <cell r="J8">
            <v>401</v>
          </cell>
          <cell r="K8">
            <v>382</v>
          </cell>
          <cell r="L8">
            <v>253</v>
          </cell>
          <cell r="M8">
            <v>394</v>
          </cell>
          <cell r="N8">
            <v>311</v>
          </cell>
          <cell r="O8">
            <v>218</v>
          </cell>
          <cell r="P8">
            <v>115</v>
          </cell>
          <cell r="Q8">
            <v>343</v>
          </cell>
          <cell r="S8">
            <v>1156</v>
          </cell>
        </row>
        <row r="9">
          <cell r="D9">
            <v>18141</v>
          </cell>
          <cell r="E9">
            <v>8948</v>
          </cell>
          <cell r="F9">
            <v>2362</v>
          </cell>
          <cell r="G9">
            <v>9911</v>
          </cell>
          <cell r="H9">
            <v>40980</v>
          </cell>
          <cell r="I9">
            <v>7427</v>
          </cell>
          <cell r="J9">
            <v>17304</v>
          </cell>
          <cell r="K9">
            <v>13848</v>
          </cell>
          <cell r="L9">
            <v>8850</v>
          </cell>
          <cell r="M9">
            <v>12906</v>
          </cell>
          <cell r="N9">
            <v>11139</v>
          </cell>
          <cell r="O9">
            <v>10648</v>
          </cell>
          <cell r="P9">
            <v>2148</v>
          </cell>
          <cell r="Q9">
            <v>17709</v>
          </cell>
          <cell r="R9">
            <v>57190</v>
          </cell>
          <cell r="S9">
            <v>182321</v>
          </cell>
        </row>
        <row r="10">
          <cell r="D10">
            <v>439</v>
          </cell>
          <cell r="E10">
            <v>250</v>
          </cell>
          <cell r="F10">
            <v>102</v>
          </cell>
          <cell r="G10">
            <v>244</v>
          </cell>
          <cell r="H10">
            <v>628</v>
          </cell>
          <cell r="I10">
            <v>287</v>
          </cell>
          <cell r="J10">
            <v>425</v>
          </cell>
          <cell r="K10">
            <v>413</v>
          </cell>
          <cell r="L10">
            <v>283</v>
          </cell>
          <cell r="M10">
            <v>308</v>
          </cell>
          <cell r="N10">
            <v>417</v>
          </cell>
          <cell r="O10">
            <v>226</v>
          </cell>
          <cell r="P10">
            <v>108</v>
          </cell>
          <cell r="Q10">
            <v>379</v>
          </cell>
          <cell r="S10">
            <v>1518</v>
          </cell>
        </row>
        <row r="11">
          <cell r="D11">
            <v>7019</v>
          </cell>
          <cell r="E11">
            <v>2550</v>
          </cell>
          <cell r="F11">
            <v>590</v>
          </cell>
          <cell r="G11">
            <v>2364</v>
          </cell>
          <cell r="H11">
            <v>23926</v>
          </cell>
          <cell r="I11">
            <v>2974</v>
          </cell>
          <cell r="J11">
            <v>6817</v>
          </cell>
          <cell r="K11">
            <v>4801</v>
          </cell>
          <cell r="L11">
            <v>3244</v>
          </cell>
          <cell r="M11">
            <v>6153</v>
          </cell>
          <cell r="N11">
            <v>4141</v>
          </cell>
          <cell r="O11">
            <v>4053</v>
          </cell>
          <cell r="P11">
            <v>572</v>
          </cell>
          <cell r="Q11">
            <v>7010</v>
          </cell>
          <cell r="R11">
            <v>29317</v>
          </cell>
          <cell r="S11">
            <v>76214</v>
          </cell>
        </row>
        <row r="12">
          <cell r="D12">
            <v>407</v>
          </cell>
          <cell r="E12">
            <v>198</v>
          </cell>
          <cell r="F12">
            <v>91</v>
          </cell>
          <cell r="G12">
            <v>231</v>
          </cell>
          <cell r="H12">
            <v>707</v>
          </cell>
          <cell r="I12">
            <v>311</v>
          </cell>
          <cell r="J12">
            <v>382</v>
          </cell>
          <cell r="K12">
            <v>388</v>
          </cell>
          <cell r="L12">
            <v>262</v>
          </cell>
          <cell r="M12">
            <v>428</v>
          </cell>
          <cell r="N12">
            <v>340</v>
          </cell>
          <cell r="O12">
            <v>228</v>
          </cell>
          <cell r="P12">
            <v>74</v>
          </cell>
          <cell r="Q12">
            <v>378</v>
          </cell>
          <cell r="S12">
            <v>1359</v>
          </cell>
        </row>
        <row r="13">
          <cell r="D13">
            <v>2.39</v>
          </cell>
          <cell r="E13">
            <v>2.31</v>
          </cell>
          <cell r="F13">
            <v>2.36</v>
          </cell>
          <cell r="G13">
            <v>2.35</v>
          </cell>
          <cell r="H13">
            <v>2.48</v>
          </cell>
          <cell r="I13">
            <v>2.4500000000000002</v>
          </cell>
          <cell r="J13">
            <v>2.36</v>
          </cell>
          <cell r="K13">
            <v>2.66</v>
          </cell>
          <cell r="L13">
            <v>2.54</v>
          </cell>
          <cell r="M13">
            <v>2.2799999999999998</v>
          </cell>
          <cell r="N13">
            <v>2.31</v>
          </cell>
          <cell r="O13">
            <v>2.4</v>
          </cell>
          <cell r="P13">
            <v>2.2999999999999998</v>
          </cell>
          <cell r="Q13">
            <v>2.4</v>
          </cell>
          <cell r="S13">
            <v>2.42</v>
          </cell>
        </row>
        <row r="14">
          <cell r="D14">
            <v>0.05</v>
          </cell>
          <cell r="E14">
            <v>0.05</v>
          </cell>
          <cell r="F14">
            <v>0.1</v>
          </cell>
          <cell r="G14">
            <v>0.05</v>
          </cell>
          <cell r="H14">
            <v>0.03</v>
          </cell>
          <cell r="I14">
            <v>0.09</v>
          </cell>
          <cell r="J14">
            <v>0.05</v>
          </cell>
          <cell r="K14">
            <v>0.06</v>
          </cell>
          <cell r="L14">
            <v>0.08</v>
          </cell>
          <cell r="M14">
            <v>0.05</v>
          </cell>
          <cell r="N14">
            <v>0.06</v>
          </cell>
          <cell r="O14">
            <v>0.04</v>
          </cell>
          <cell r="P14">
            <v>0.11</v>
          </cell>
          <cell r="Q14">
            <v>0.04</v>
          </cell>
          <cell r="S14">
            <v>0.01</v>
          </cell>
        </row>
        <row r="15">
          <cell r="D15">
            <v>2</v>
          </cell>
          <cell r="E15">
            <v>2.13</v>
          </cell>
          <cell r="F15">
            <v>2.35</v>
          </cell>
          <cell r="G15">
            <v>2.08</v>
          </cell>
          <cell r="H15">
            <v>2.0699999999999998</v>
          </cell>
          <cell r="I15">
            <v>2.13</v>
          </cell>
          <cell r="J15">
            <v>2.0099999999999998</v>
          </cell>
          <cell r="K15">
            <v>2.39</v>
          </cell>
          <cell r="L15">
            <v>2.13</v>
          </cell>
          <cell r="M15">
            <v>1.98</v>
          </cell>
          <cell r="N15">
            <v>2.13</v>
          </cell>
          <cell r="O15">
            <v>2.06</v>
          </cell>
          <cell r="P15">
            <v>2.17</v>
          </cell>
          <cell r="Q15">
            <v>1.98</v>
          </cell>
          <cell r="S15">
            <v>2.08</v>
          </cell>
        </row>
        <row r="16">
          <cell r="D16">
            <v>0.08</v>
          </cell>
          <cell r="E16">
            <v>0.11</v>
          </cell>
          <cell r="F16">
            <v>0.23</v>
          </cell>
          <cell r="G16">
            <v>0.11</v>
          </cell>
          <cell r="H16">
            <v>0.05</v>
          </cell>
          <cell r="I16">
            <v>0.11</v>
          </cell>
          <cell r="J16">
            <v>0.08</v>
          </cell>
          <cell r="K16">
            <v>0.14000000000000001</v>
          </cell>
          <cell r="L16">
            <v>0.16</v>
          </cell>
          <cell r="M16">
            <v>0.09</v>
          </cell>
          <cell r="N16">
            <v>0.13</v>
          </cell>
          <cell r="O16">
            <v>0.1</v>
          </cell>
          <cell r="P16">
            <v>0.18</v>
          </cell>
          <cell r="Q16">
            <v>0.09</v>
          </cell>
          <cell r="S16">
            <v>0.03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7C2D70-A78F-4445-93C8-FB527F842AFA}" name="VLIL2021" displayName="VLIL2021" ref="B23:J37" totalsRowShown="0" headerRowDxfId="35" dataDxfId="34" tableBorderDxfId="33" dataCellStyle="Comma">
  <tableColumns count="9">
    <tableColumn id="1" xr3:uid="{64687ED8-4B79-4B66-943B-4EE780D49583}" name="County" dataDxfId="32"/>
    <tableColumn id="2" xr3:uid="{DA4FD2B5-F8FC-443A-BF9E-A59D22FE056F}" name="1" dataDxfId="31" dataCellStyle="Comma"/>
    <tableColumn id="3" xr3:uid="{BD7104C1-2F10-49F0-AF7E-F8712F324E66}" name="2" dataDxfId="30" dataCellStyle="Comma"/>
    <tableColumn id="4" xr3:uid="{A8C51839-38F2-423C-9B19-A7860995067D}" name="3" dataDxfId="29" dataCellStyle="Comma"/>
    <tableColumn id="5" xr3:uid="{FF733907-7FDD-421A-A307-B5AAD13AD2B0}" name="4" dataDxfId="28" dataCellStyle="Comma"/>
    <tableColumn id="6" xr3:uid="{A9824F82-CCBE-4858-A6C1-C2F813E0F803}" name="5" dataDxfId="27" dataCellStyle="Comma"/>
    <tableColumn id="7" xr3:uid="{FF4FF91D-C903-45C9-9F65-131FD11A36BC}" name="6" dataDxfId="26" dataCellStyle="Comma"/>
    <tableColumn id="8" xr3:uid="{18619702-70B3-4270-876E-129A66AA9BC4}" name="7" dataDxfId="25" dataCellStyle="Comma"/>
    <tableColumn id="9" xr3:uid="{95EFD956-EF33-4BBB-BCD5-6A9A1EE8C7BE}" name="8" dataDxfId="24" dataCellStyle="Comma"/>
  </tableColumns>
  <tableStyleInfo name="VTStateColorThem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1F1FD8-6CBE-459A-8F85-92057A23B6D9}" name="ELIL2021" displayName="ELIL2021" ref="B4:J18" totalsRowShown="0" headerRowDxfId="23" dataDxfId="22" tableBorderDxfId="21" dataCellStyle="Comma">
  <tableColumns count="9">
    <tableColumn id="1" xr3:uid="{9F17FADF-0EFC-4364-8567-968CBA1AC076}" name="County" dataDxfId="20"/>
    <tableColumn id="2" xr3:uid="{199E8744-4505-4280-8E19-B28B4CDEFF17}" name="1" dataDxfId="19" dataCellStyle="Comma"/>
    <tableColumn id="3" xr3:uid="{43713D34-BA44-45A8-B3C4-DF4C5D9F2CB1}" name="2" dataDxfId="18" dataCellStyle="Comma"/>
    <tableColumn id="4" xr3:uid="{5509CB78-DBA4-47F9-BFA4-1A00BD01CD3F}" name="3" dataDxfId="17" dataCellStyle="Comma"/>
    <tableColumn id="5" xr3:uid="{0B9E58E5-28FE-4316-BE7C-0A2ECAB75F9D}" name="4" dataDxfId="16" dataCellStyle="Comma"/>
    <tableColumn id="6" xr3:uid="{4A6AC784-BB1D-497C-89CA-B148B3A05A68}" name="5" dataDxfId="15" dataCellStyle="Comma"/>
    <tableColumn id="7" xr3:uid="{7DF47F65-CED2-49EE-88DC-FEB3F68D9EE3}" name="6" dataDxfId="14" dataCellStyle="Comma"/>
    <tableColumn id="8" xr3:uid="{F4102505-9D30-4F04-8673-32EDBD19495D}" name="7" dataDxfId="13" dataCellStyle="Comma"/>
    <tableColumn id="9" xr3:uid="{978E4AE0-2FB3-402A-AE88-553F2BD0AB50}" name="8" dataDxfId="12" dataCellStyle="Comma"/>
  </tableColumns>
  <tableStyleInfo name="VTStateColorThem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71F8920-B366-414C-B8DA-218727648DD6}" name="TRebateAmounts" displayName="TRebateAmounts" ref="B5:J19" totalsRowShown="0" headerRowDxfId="11" dataDxfId="10" headerRowCellStyle="Normal 2" dataCellStyle="Currency 2">
  <tableColumns count="9">
    <tableColumn id="1" xr3:uid="{ACFACCC5-00F6-4065-85DA-D2C368A6C0E9}" name="County" dataDxfId="9" dataCellStyle="Normal 2"/>
    <tableColumn id="3" xr3:uid="{7C7CBC9A-48EE-4442-91D7-B637C83936D0}" name="1" dataDxfId="8" dataCellStyle="Currency 2"/>
    <tableColumn id="4" xr3:uid="{5D707F91-F2E5-4079-825D-E3C9126874E7}" name="2" dataDxfId="7" dataCellStyle="Currency 2"/>
    <tableColumn id="5" xr3:uid="{803BA711-6B09-4FA6-8936-596D70FEE1BB}" name="3" dataDxfId="6" dataCellStyle="Currency 2"/>
    <tableColumn id="6" xr3:uid="{F06D2771-2276-441D-8135-E9383973CCF2}" name="4" dataDxfId="5" dataCellStyle="Currency 2"/>
    <tableColumn id="2" xr3:uid="{641D93E5-6F33-43BD-8FA4-3CB0C54D77B8}" name="5" dataDxfId="4" dataCellStyle="Currency 2"/>
    <tableColumn id="7" xr3:uid="{68B1B41E-3675-45E9-BBAA-3EC400E79528}" name="6" dataDxfId="3" dataCellStyle="Currency 2"/>
    <tableColumn id="8" xr3:uid="{551E5C2B-303F-4F57-AE8B-C79714CB304F}" name="7" dataDxfId="2" dataCellStyle="Currency 2"/>
    <tableColumn id="9" xr3:uid="{5D49F6ED-FADC-4224-9D73-60F1EE89875C}" name="8" dataDxfId="1" dataCellStyle="Currency 2"/>
  </tableColumns>
  <tableStyleInfo name="VTStateColorTheme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TState">
      <a:dk1>
        <a:sysClr val="windowText" lastClr="000000"/>
      </a:dk1>
      <a:lt1>
        <a:srgbClr val="FFFFFF"/>
      </a:lt1>
      <a:dk2>
        <a:srgbClr val="537636"/>
      </a:dk2>
      <a:lt2>
        <a:srgbClr val="FFFFFF"/>
      </a:lt2>
      <a:accent1>
        <a:srgbClr val="B6BF0D"/>
      </a:accent1>
      <a:accent2>
        <a:srgbClr val="5482AB"/>
      </a:accent2>
      <a:accent3>
        <a:srgbClr val="782327"/>
      </a:accent3>
      <a:accent4>
        <a:srgbClr val="FFC000"/>
      </a:accent4>
      <a:accent5>
        <a:srgbClr val="3095B4"/>
      </a:accent5>
      <a:accent6>
        <a:srgbClr val="4B306A"/>
      </a:accent6>
      <a:hlink>
        <a:srgbClr val="0563C1"/>
      </a:hlink>
      <a:folHlink>
        <a:srgbClr val="954F72"/>
      </a:folHlink>
    </a:clrScheme>
    <a:fontScheme name="VTStateFonts">
      <a:majorFont>
        <a:latin typeface="Franklin Gothic Dem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BCC2-BAD5-4A81-B4B0-A52E58076211}">
  <sheetPr codeName="Sheet7"/>
  <dimension ref="A1:G20"/>
  <sheetViews>
    <sheetView showGridLines="0" tabSelected="1" zoomScale="85" zoomScaleNormal="85" workbookViewId="0">
      <selection activeCell="A10" sqref="A10:F10"/>
    </sheetView>
  </sheetViews>
  <sheetFormatPr defaultRowHeight="14.4" x14ac:dyDescent="0.3"/>
  <cols>
    <col min="1" max="5" width="10.109375" customWidth="1"/>
    <col min="6" max="6" width="61" customWidth="1"/>
    <col min="7" max="7" width="20.109375" customWidth="1"/>
  </cols>
  <sheetData>
    <row r="1" spans="1:7" ht="24" thickBot="1" x14ac:dyDescent="0.5">
      <c r="A1" s="65" t="s">
        <v>71</v>
      </c>
      <c r="B1" s="15"/>
      <c r="C1" s="15"/>
      <c r="D1" s="15"/>
      <c r="E1" s="15"/>
      <c r="F1" s="15"/>
      <c r="G1" s="15"/>
    </row>
    <row r="2" spans="1:7" ht="12.75" customHeight="1" thickTop="1" x14ac:dyDescent="0.3">
      <c r="A2" s="106"/>
      <c r="B2" s="106"/>
      <c r="C2" s="106"/>
      <c r="D2" s="106"/>
      <c r="E2" s="106"/>
      <c r="F2" s="106"/>
      <c r="G2" s="106"/>
    </row>
    <row r="3" spans="1:7" ht="27" customHeight="1" x14ac:dyDescent="0.3">
      <c r="A3" s="64" t="s">
        <v>72</v>
      </c>
      <c r="B3" s="62"/>
      <c r="C3" s="62"/>
      <c r="D3" s="62"/>
      <c r="E3" s="62"/>
      <c r="F3" s="63"/>
      <c r="G3" s="91"/>
    </row>
    <row r="4" spans="1:7" ht="27" customHeight="1" x14ac:dyDescent="0.3">
      <c r="A4" s="64" t="s">
        <v>57</v>
      </c>
      <c r="B4" s="62"/>
      <c r="C4" s="62"/>
      <c r="D4" s="62"/>
      <c r="E4" s="62"/>
      <c r="F4" s="63"/>
      <c r="G4" s="91" t="s">
        <v>6</v>
      </c>
    </row>
    <row r="5" spans="1:7" ht="27" customHeight="1" x14ac:dyDescent="0.3">
      <c r="A5" s="64" t="s">
        <v>52</v>
      </c>
      <c r="B5" s="62"/>
      <c r="C5" s="62"/>
      <c r="D5" s="62"/>
      <c r="E5" s="62"/>
      <c r="F5" s="63"/>
      <c r="G5" s="92">
        <v>2</v>
      </c>
    </row>
    <row r="6" spans="1:7" ht="27" customHeight="1" x14ac:dyDescent="0.3">
      <c r="A6" s="64" t="s">
        <v>62</v>
      </c>
      <c r="B6" s="62"/>
      <c r="C6" s="62"/>
      <c r="D6" s="62"/>
      <c r="E6" s="62"/>
      <c r="F6" s="63"/>
      <c r="G6" s="92" t="s">
        <v>60</v>
      </c>
    </row>
    <row r="7" spans="1:7" ht="27" customHeight="1" x14ac:dyDescent="0.3">
      <c r="A7" s="64" t="s">
        <v>73</v>
      </c>
      <c r="B7" s="62"/>
      <c r="C7" s="62"/>
      <c r="D7" s="62"/>
      <c r="E7" s="62"/>
      <c r="F7" s="63"/>
      <c r="G7" s="92">
        <v>12</v>
      </c>
    </row>
    <row r="8" spans="1:7" ht="27" customHeight="1" x14ac:dyDescent="0.3">
      <c r="A8" s="64" t="s">
        <v>65</v>
      </c>
      <c r="B8" s="62"/>
      <c r="C8" s="62"/>
      <c r="D8" s="62"/>
      <c r="E8" s="62"/>
      <c r="F8" s="63"/>
      <c r="G8" s="92" t="s">
        <v>60</v>
      </c>
    </row>
    <row r="9" spans="1:7" ht="27" customHeight="1" x14ac:dyDescent="0.3">
      <c r="A9" s="64" t="s">
        <v>74</v>
      </c>
      <c r="B9" s="62"/>
      <c r="C9" s="62"/>
      <c r="D9" s="62"/>
      <c r="E9" s="62"/>
      <c r="F9" s="63"/>
      <c r="G9" s="92"/>
    </row>
    <row r="10" spans="1:7" ht="46.2" customHeight="1" x14ac:dyDescent="0.3">
      <c r="A10" s="107" t="s">
        <v>66</v>
      </c>
      <c r="B10" s="108"/>
      <c r="C10" s="108"/>
      <c r="D10" s="108"/>
      <c r="E10" s="108"/>
      <c r="F10" s="109"/>
      <c r="G10" s="91"/>
    </row>
    <row r="11" spans="1:7" ht="27" hidden="1" customHeight="1" x14ac:dyDescent="0.3">
      <c r="A11" s="66" t="str">
        <f>County &amp;" County, "&amp; Household_Size&amp; "-Person Very Low Income"</f>
        <v>Addison County, 2-Person Very Low Income</v>
      </c>
      <c r="B11" s="67"/>
      <c r="C11" s="67"/>
      <c r="D11" s="67"/>
      <c r="E11" s="67"/>
      <c r="F11" s="68"/>
      <c r="G11" s="69">
        <f>IFERROR(INDEX(VLIL2021[],MATCH(County,VLIL2021[County],0),MATCH(TEXT(IF(Household_Size&gt;8,8,Household_Size),0),VLIL2021[#Headers],0)),"")</f>
        <v>56680</v>
      </c>
    </row>
    <row r="12" spans="1:7" ht="27" hidden="1" customHeight="1" thickBot="1" x14ac:dyDescent="0.35">
      <c r="A12" s="70" t="str">
        <f>County &amp;" County, "&amp; Household_Size&amp; "-Person Extremely Low Income"</f>
        <v>Addison County, 2-Person Extremely Low Income</v>
      </c>
      <c r="B12" s="71"/>
      <c r="C12" s="71"/>
      <c r="D12" s="71"/>
      <c r="E12" s="71"/>
      <c r="F12" s="72"/>
      <c r="G12" s="73">
        <f>IFERROR(INDEX(ELIL2021[],MATCH(County,ELIL2021[County],0),MATCH(TEXT(IF(Household_Size&gt;8,8,Household_Size),0),ELIL2021[#Headers],0)),"")</f>
        <v>26200</v>
      </c>
    </row>
    <row r="13" spans="1:7" ht="26.25" hidden="1" customHeight="1" x14ac:dyDescent="0.3">
      <c r="A13" s="76" t="str">
        <f>"Base Credit for " &amp; County &amp;" " &amp; Household_Size&amp;"-Person Extremely Low Income"</f>
        <v>Base Credit for Addison 2-Person Extremely Low Income</v>
      </c>
      <c r="B13" s="74"/>
      <c r="C13" s="74"/>
      <c r="D13" s="74"/>
      <c r="E13" s="74"/>
      <c r="F13" s="75"/>
      <c r="G13" s="78" cm="1">
        <f t="array" ref="G13">VLOOKUP(County,TRebateAmounts[],MATCH(TEXT(IF(Household_Size&gt;4,4,Household_Size),0),TRebateAmounts[#Headers],0),FALSE)</f>
        <v>1598</v>
      </c>
    </row>
    <row r="14" spans="1:7" ht="26.25" hidden="1" customHeight="1" x14ac:dyDescent="0.3">
      <c r="A14" s="101" t="s">
        <v>61</v>
      </c>
      <c r="B14" s="102"/>
      <c r="C14" s="102"/>
      <c r="D14" s="102"/>
      <c r="E14" s="102"/>
      <c r="F14" s="103"/>
      <c r="G14" s="104">
        <f>MIN(G10*10%,2500)</f>
        <v>0</v>
      </c>
    </row>
    <row r="15" spans="1:7" ht="36" hidden="1" customHeight="1" thickBot="1" x14ac:dyDescent="0.35">
      <c r="A15" s="77" t="s">
        <v>33</v>
      </c>
      <c r="B15" s="71"/>
      <c r="C15" s="71"/>
      <c r="D15" s="71"/>
      <c r="E15" s="71"/>
      <c r="F15" s="72"/>
      <c r="G15" s="79">
        <f>IF(G3&gt;VLIThreshold,
        0,
        IF(G3&gt;ELIThreshold,
             (1-(G3-ELIThreshold)/(VLIThreshold-ELIThreshold))*100,
             100))/100</f>
        <v>1</v>
      </c>
    </row>
    <row r="16" spans="1:7" ht="12" customHeight="1" thickBot="1" x14ac:dyDescent="0.35"/>
    <row r="17" spans="1:7" ht="27" customHeight="1" thickBot="1" x14ac:dyDescent="0.35">
      <c r="A17" s="93" t="s">
        <v>63</v>
      </c>
      <c r="B17" s="94"/>
      <c r="C17" s="94"/>
      <c r="D17" s="94"/>
      <c r="E17" s="94"/>
      <c r="F17" s="94"/>
      <c r="G17" s="95">
        <f>IF(G7&gt;5,(G7/12)*IFERROR(IF(Percent_Rebate_Claimable=0,0,IF(SharedOccupant="Yes",ROUND(IF(G8="YES",Base_Credit_Subsidized*(G9/G7)+(G7-G9)/G7*Base_Credit,Base_Rebate_Amount)*Percent_Rebate_Claimable,0)*0.5,ROUND(IF(G8="YES",Base_Credit_Subsidized*(G9/G7)+(G7-G9)/G7*Base_Credit,Base_Rebate_Amount)*Percent_Rebate_Claimable,0))),""),0)</f>
        <v>1598</v>
      </c>
    </row>
    <row r="18" spans="1:7" ht="27" customHeight="1" x14ac:dyDescent="0.3"/>
    <row r="19" spans="1:7" ht="27" hidden="1" customHeight="1" x14ac:dyDescent="0.3">
      <c r="G19" t="s">
        <v>59</v>
      </c>
    </row>
    <row r="20" spans="1:7" ht="27" hidden="1" customHeight="1" x14ac:dyDescent="0.3">
      <c r="G20" t="s">
        <v>60</v>
      </c>
    </row>
  </sheetData>
  <sheetProtection selectLockedCells="1"/>
  <mergeCells count="2">
    <mergeCell ref="A2:G2"/>
    <mergeCell ref="A10:F10"/>
  </mergeCells>
  <dataValidations count="3">
    <dataValidation type="whole" allowBlank="1" showInputMessage="1" showErrorMessage="1" error="Enter a value between 1 and 10" sqref="G5" xr:uid="{3CB162F7-BC15-40EF-9E85-2654023FC89A}">
      <formula1>1</formula1>
      <formula2>10</formula2>
    </dataValidation>
    <dataValidation type="list" allowBlank="1" showInputMessage="1" showErrorMessage="1" sqref="G6 G8" xr:uid="{1E1FEA13-2377-4DEE-AB42-565C5DF25F9A}">
      <formula1>$G$19:$G$20</formula1>
    </dataValidation>
    <dataValidation type="whole" allowBlank="1" showInputMessage="1" showErrorMessage="1" sqref="G9" xr:uid="{15409A84-91E3-441E-A513-16A2C76408EB}">
      <formula1>1</formula1>
      <formula2>12</formula2>
    </dataValidation>
  </dataValidations>
  <pageMargins left="0.7" right="0.7" top="0.75" bottom="0.75" header="0.3" footer="0.3"/>
  <pageSetup scale="3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one of the county values from the dropdown menu." xr:uid="{FFC55D36-485C-418A-92F8-B3A369F17570}">
          <x14:formula1>
            <xm:f>'Base Credit Amounts'!$B$6:$B$19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BD7C0-E8DD-43DD-855A-4639258A24F6}">
  <sheetPr codeName="Sheet4"/>
  <dimension ref="A1:I10"/>
  <sheetViews>
    <sheetView workbookViewId="0">
      <selection activeCell="A3" sqref="A3"/>
    </sheetView>
  </sheetViews>
  <sheetFormatPr defaultRowHeight="14.4" x14ac:dyDescent="0.3"/>
  <cols>
    <col min="8" max="8" width="24.33203125" customWidth="1"/>
    <col min="9" max="9" width="13.88671875" customWidth="1"/>
  </cols>
  <sheetData>
    <row r="1" spans="1:9" x14ac:dyDescent="0.3">
      <c r="A1" s="97" t="s">
        <v>69</v>
      </c>
    </row>
    <row r="2" spans="1:9" x14ac:dyDescent="0.3">
      <c r="A2" s="97" t="s">
        <v>70</v>
      </c>
    </row>
    <row r="3" spans="1:9" x14ac:dyDescent="0.3">
      <c r="A3" s="97"/>
    </row>
    <row r="5" spans="1:9" x14ac:dyDescent="0.3">
      <c r="A5" t="s">
        <v>53</v>
      </c>
      <c r="I5" s="98"/>
    </row>
    <row r="6" spans="1:9" x14ac:dyDescent="0.3">
      <c r="A6" s="97" t="s">
        <v>56</v>
      </c>
      <c r="I6" s="98"/>
    </row>
    <row r="7" spans="1:9" x14ac:dyDescent="0.3">
      <c r="A7" s="97" t="s">
        <v>54</v>
      </c>
      <c r="I7" s="98"/>
    </row>
    <row r="8" spans="1:9" x14ac:dyDescent="0.3">
      <c r="A8" s="97" t="s">
        <v>58</v>
      </c>
      <c r="I8" s="98"/>
    </row>
    <row r="9" spans="1:9" x14ac:dyDescent="0.3">
      <c r="I9" s="99"/>
    </row>
    <row r="10" spans="1:9" x14ac:dyDescent="0.3">
      <c r="A10" s="97" t="s">
        <v>64</v>
      </c>
      <c r="H10" s="105" t="s">
        <v>55</v>
      </c>
      <c r="I10" s="100">
        <f>SUM(I5:I8)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EFBC-A42A-4DB2-8EB5-8C115B44F087}">
  <sheetPr codeName="Sheet1"/>
  <dimension ref="B2:S60"/>
  <sheetViews>
    <sheetView showGridLines="0" zoomScale="70" zoomScaleNormal="70" workbookViewId="0"/>
  </sheetViews>
  <sheetFormatPr defaultRowHeight="14.4" x14ac:dyDescent="0.3"/>
  <cols>
    <col min="1" max="1" width="3.88671875" customWidth="1"/>
    <col min="2" max="2" width="12.109375" customWidth="1"/>
    <col min="3" max="3" width="11.33203125" customWidth="1"/>
    <col min="4" max="6" width="9.109375" customWidth="1"/>
    <col min="7" max="7" width="20.109375" customWidth="1"/>
    <col min="8" max="8" width="9.109375" customWidth="1"/>
    <col min="9" max="9" width="12.109375" customWidth="1"/>
    <col min="10" max="10" width="11.33203125" customWidth="1"/>
    <col min="11" max="11" width="10.109375" customWidth="1"/>
    <col min="13" max="13" width="20.109375" customWidth="1"/>
    <col min="15" max="15" width="57.33203125" customWidth="1"/>
    <col min="16" max="16" width="11.6640625" bestFit="1" customWidth="1"/>
  </cols>
  <sheetData>
    <row r="2" spans="2:19" ht="24.6" x14ac:dyDescent="0.4">
      <c r="B2" s="2" t="s">
        <v>0</v>
      </c>
    </row>
    <row r="4" spans="2:19" ht="20.399999999999999" thickBot="1" x14ac:dyDescent="0.45">
      <c r="B4" s="15" t="s">
        <v>24</v>
      </c>
      <c r="C4" s="15"/>
      <c r="D4" s="15"/>
      <c r="E4" s="15"/>
      <c r="F4" s="15"/>
      <c r="G4" s="15"/>
      <c r="I4" s="15" t="s">
        <v>25</v>
      </c>
      <c r="J4" s="15"/>
      <c r="K4" s="15"/>
      <c r="L4" s="15"/>
      <c r="M4" s="15"/>
    </row>
    <row r="5" spans="2:19" ht="15.75" customHeight="1" thickTop="1" x14ac:dyDescent="0.3">
      <c r="B5" s="110" t="s">
        <v>27</v>
      </c>
      <c r="C5" s="110"/>
      <c r="D5" s="110"/>
      <c r="E5" s="110"/>
      <c r="F5" s="110"/>
      <c r="G5" s="110"/>
      <c r="I5" s="110" t="s">
        <v>29</v>
      </c>
      <c r="J5" s="110"/>
      <c r="K5" s="110"/>
      <c r="L5" s="110"/>
      <c r="M5" s="110"/>
    </row>
    <row r="6" spans="2:19" x14ac:dyDescent="0.3">
      <c r="B6" s="111"/>
      <c r="C6" s="111"/>
      <c r="D6" s="111"/>
      <c r="E6" s="111"/>
      <c r="F6" s="111"/>
      <c r="G6" s="111"/>
      <c r="I6" s="111"/>
      <c r="J6" s="111"/>
      <c r="K6" s="111"/>
      <c r="L6" s="111"/>
      <c r="M6" s="111"/>
    </row>
    <row r="7" spans="2:19" x14ac:dyDescent="0.3">
      <c r="B7" s="111"/>
      <c r="C7" s="111"/>
      <c r="D7" s="111"/>
      <c r="E7" s="111"/>
      <c r="F7" s="111"/>
      <c r="G7" s="111"/>
      <c r="I7" s="111"/>
      <c r="J7" s="111"/>
      <c r="K7" s="111"/>
      <c r="L7" s="111"/>
      <c r="M7" s="111"/>
    </row>
    <row r="8" spans="2:19" ht="16.5" customHeight="1" x14ac:dyDescent="0.3">
      <c r="B8" s="111"/>
      <c r="C8" s="111"/>
      <c r="D8" s="111"/>
      <c r="E8" s="111"/>
      <c r="F8" s="111"/>
      <c r="G8" s="111"/>
      <c r="I8" s="111"/>
      <c r="J8" s="111"/>
      <c r="K8" s="111"/>
      <c r="L8" s="111"/>
      <c r="M8" s="111"/>
      <c r="O8" s="38" t="str">
        <f>County&amp; " County - Median Income and Very Low &amp; Extremely Low Income Thresholds (Annual)"</f>
        <v>Windsor County - Median Income and Very Low &amp; Extremely Low Income Thresholds (Annual)</v>
      </c>
    </row>
    <row r="9" spans="2:19" ht="16.5" customHeight="1" x14ac:dyDescent="0.3">
      <c r="B9" s="111"/>
      <c r="C9" s="111"/>
      <c r="D9" s="111"/>
      <c r="E9" s="111"/>
      <c r="F9" s="111"/>
      <c r="G9" s="111"/>
      <c r="I9" s="111"/>
      <c r="J9" s="111"/>
      <c r="K9" s="111"/>
      <c r="L9" s="111"/>
      <c r="M9" s="111"/>
    </row>
    <row r="10" spans="2:19" ht="16.5" customHeight="1" x14ac:dyDescent="0.3">
      <c r="B10" s="111"/>
      <c r="C10" s="111"/>
      <c r="D10" s="111"/>
      <c r="E10" s="111"/>
      <c r="F10" s="111"/>
      <c r="G10" s="111"/>
      <c r="I10" s="111"/>
      <c r="J10" s="111"/>
      <c r="K10" s="111"/>
      <c r="L10" s="111"/>
      <c r="M10" s="111"/>
    </row>
    <row r="11" spans="2:19" ht="18" thickBot="1" x14ac:dyDescent="0.4">
      <c r="B11" s="33" t="s">
        <v>43</v>
      </c>
      <c r="C11" s="24"/>
      <c r="D11" s="24"/>
      <c r="E11" s="24"/>
      <c r="F11" s="25"/>
      <c r="G11" s="14" t="e">
        <f>VLOOKUP(G18,#REF!,3,FALSE)</f>
        <v>#REF!</v>
      </c>
      <c r="I11" s="34" t="s">
        <v>31</v>
      </c>
      <c r="J11" s="31"/>
      <c r="K11" s="31"/>
      <c r="L11" s="31"/>
      <c r="M11" s="32">
        <f>Annual_Income_Analysis</f>
        <v>37000</v>
      </c>
      <c r="O11" s="37" t="str">
        <f>County &amp; " County Data for Renter Rebate Reform"</f>
        <v>Windsor County Data for Renter Rebate Reform</v>
      </c>
      <c r="P11" s="37" t="s">
        <v>40</v>
      </c>
      <c r="Q11" s="38" t="s">
        <v>32</v>
      </c>
    </row>
    <row r="12" spans="2:19" ht="18.75" customHeight="1" thickTop="1" thickBot="1" x14ac:dyDescent="0.4">
      <c r="I12" s="46"/>
      <c r="J12" s="47"/>
      <c r="K12" s="47"/>
      <c r="L12" s="47"/>
      <c r="M12" s="48"/>
      <c r="O12" s="37"/>
      <c r="P12" s="37"/>
      <c r="Q12" s="38"/>
    </row>
    <row r="13" spans="2:19" ht="15.75" customHeight="1" thickTop="1" x14ac:dyDescent="0.3">
      <c r="B13" s="112" t="e">
        <f>"Current rebate claimants " &amp;
IF(County="",""," in " &amp; County &amp; " County")&amp;
" earning between " &amp;
 G11 &amp;
" pay an average of " &amp;
TEXT(G19,"$#,###") &amp;
" on monthly rent and receive an average of about " &amp;
TEXT(G20,"$#,###") &amp;
" in their current total rebate (" &amp;
TEXT(G21,"$#,###") &amp;
" per month)."</f>
        <v>#REF!</v>
      </c>
      <c r="C13" s="112"/>
      <c r="D13" s="112"/>
      <c r="E13" s="112"/>
      <c r="F13" s="112"/>
      <c r="G13" s="112"/>
      <c r="I13" s="33" t="s">
        <v>1</v>
      </c>
      <c r="J13" s="24"/>
      <c r="K13" s="24"/>
      <c r="L13" s="25"/>
      <c r="M13" s="14" t="s">
        <v>16</v>
      </c>
      <c r="O13" t="str">
        <f>County &amp;" County Median Income"</f>
        <v>Windsor County Median Income</v>
      </c>
      <c r="P13" s="39" t="e">
        <f>VLOOKUP(M13,#REF!,2,FALSE)</f>
        <v>#REF!</v>
      </c>
      <c r="Q13" s="43">
        <v>1</v>
      </c>
      <c r="R13" s="43" t="s">
        <v>34</v>
      </c>
      <c r="S13" s="43"/>
    </row>
    <row r="14" spans="2:19" ht="15" customHeight="1" x14ac:dyDescent="0.3">
      <c r="B14" s="112"/>
      <c r="C14" s="112"/>
      <c r="D14" s="112"/>
      <c r="E14" s="112"/>
      <c r="F14" s="112"/>
      <c r="G14" s="112"/>
      <c r="O14" t="str">
        <f>County &amp;" County - "&amp; Household_Size_Analysis&amp; "-Person Very Low Income HH"</f>
        <v>Windsor County - 2-Person Very Low Income HH</v>
      </c>
      <c r="P14" s="39" t="e">
        <f>INDEX(#REF!,MATCH(County,#REF!,0),MATCH(TEXT(IF(Household_Size_Analysis&gt;4,4,Household_Size_Analysis),0),#REF!,0))</f>
        <v>#REF!</v>
      </c>
      <c r="Q14" s="43">
        <v>1</v>
      </c>
      <c r="R14" s="43" t="s">
        <v>35</v>
      </c>
      <c r="S14" s="43"/>
    </row>
    <row r="15" spans="2:19" ht="15" customHeight="1" x14ac:dyDescent="0.3">
      <c r="B15" s="112"/>
      <c r="C15" s="112"/>
      <c r="D15" s="112"/>
      <c r="E15" s="112"/>
      <c r="F15" s="112"/>
      <c r="G15" s="112"/>
      <c r="O15" t="str">
        <f>County &amp;" County - "&amp; Household_Size_Analysis&amp; "-Person Extremely Low Income HH"</f>
        <v>Windsor County - 2-Person Extremely Low Income HH</v>
      </c>
      <c r="P15" s="39" t="e">
        <f>INDEX(#REF!,MATCH(County,#REF!,0),MATCH(TEXT(IF(Household_Size_Analysis&gt;4,4,Household_Size_Analysis),0),#REF!,0))</f>
        <v>#REF!</v>
      </c>
      <c r="Q15" s="43">
        <v>1</v>
      </c>
      <c r="R15" s="43" t="s">
        <v>36</v>
      </c>
      <c r="S15" s="43"/>
    </row>
    <row r="16" spans="2:19" ht="15" customHeight="1" x14ac:dyDescent="0.3">
      <c r="B16" s="49"/>
      <c r="C16" s="49"/>
      <c r="D16" s="49"/>
      <c r="E16" s="49"/>
      <c r="F16" s="49"/>
      <c r="G16" s="49"/>
      <c r="O16" t="s">
        <v>37</v>
      </c>
      <c r="P16" s="39">
        <f>Annual_Income_Analysis</f>
        <v>37000</v>
      </c>
      <c r="Q16" s="43">
        <v>1</v>
      </c>
      <c r="R16" s="43" t="s">
        <v>37</v>
      </c>
      <c r="S16" s="43"/>
    </row>
    <row r="17" spans="2:19" x14ac:dyDescent="0.3">
      <c r="B17" s="50" t="s">
        <v>42</v>
      </c>
      <c r="C17" s="50"/>
      <c r="D17" s="50"/>
      <c r="E17" s="50"/>
      <c r="F17" s="50"/>
      <c r="G17" s="50">
        <v>2</v>
      </c>
      <c r="O17" t="str">
        <f>"Base Credit for " &amp; County &amp;" " &amp; Household_Size_Analysis&amp;"-Person Extremely Low Income HH"</f>
        <v>Base Credit for Windsor 2-Person Extremely Low Income HH</v>
      </c>
      <c r="P17" s="17" t="e" cm="1">
        <f t="array" ref="P17">VLOOKUP(County,#REF!,MATCH(TEXT(IF(Household_Size_Analysis&gt;4,4,Household_Size_Analysis),0),#REF!,0),FALSE)</f>
        <v>#REF!</v>
      </c>
      <c r="Q17" s="43">
        <v>1</v>
      </c>
      <c r="R17" s="43"/>
      <c r="S17" s="43"/>
    </row>
    <row r="18" spans="2:19" x14ac:dyDescent="0.3">
      <c r="B18" s="50" t="s">
        <v>41</v>
      </c>
      <c r="C18" s="50"/>
      <c r="D18" s="50"/>
      <c r="E18" s="50"/>
      <c r="F18" s="50"/>
      <c r="G18" s="50">
        <f>10-G17</f>
        <v>8</v>
      </c>
      <c r="O18" t="s">
        <v>33</v>
      </c>
      <c r="P18" s="36" t="e">
        <f>IF(Annual_Income_Analysis&gt;VLIThreshold,
        0,
        IF(Annual_Income_Analysis&gt;ELIThreshold,
             (1-(Annual_Income_Analysis-ELIThreshold)/(VLIThreshold-ELIThreshold))*100,
             100))/100</f>
        <v>#REF!</v>
      </c>
      <c r="Q18" s="43">
        <v>1</v>
      </c>
      <c r="R18" s="43"/>
      <c r="S18" s="43"/>
    </row>
    <row r="19" spans="2:19" x14ac:dyDescent="0.3">
      <c r="B19" t="e">
        <f>"Avg Monthly Rent for Curr. Claimants, Inc " &amp; IncomeBand</f>
        <v>#REF!</v>
      </c>
      <c r="G19" s="17" t="e">
        <f>INDEX(#REF!,MATCH(IncomeBand,#REF!,0),MATCH(IF(County="","Overall Average",County),#REF!,0))</f>
        <v>#REF!</v>
      </c>
      <c r="S19" s="17"/>
    </row>
    <row r="20" spans="2:19" x14ac:dyDescent="0.3">
      <c r="B20" t="e">
        <f>"Avg Total Rebate for Curr. Claimants, Inc " &amp; IncomeBand</f>
        <v>#REF!</v>
      </c>
      <c r="D20" s="44"/>
      <c r="E20" s="44"/>
      <c r="F20" s="44"/>
      <c r="G20" s="17" t="e">
        <f>INDEX(#REF!,MATCH(IncomeBand,#REF!,0),MATCH(IF(County="","Overall Average",County),#REF!,0))</f>
        <v>#REF!</v>
      </c>
    </row>
    <row r="21" spans="2:19" x14ac:dyDescent="0.3">
      <c r="B21" t="e">
        <f>"Avg Monthly Rebate for Curr. Claimants, Inc " &amp; IncomeBand</f>
        <v>#REF!</v>
      </c>
      <c r="G21" s="17" t="e">
        <f>G20/12</f>
        <v>#REF!</v>
      </c>
      <c r="I21" s="33" t="s">
        <v>17</v>
      </c>
      <c r="J21" s="24"/>
      <c r="K21" s="24"/>
      <c r="L21" s="25"/>
      <c r="M21" s="28">
        <v>2</v>
      </c>
      <c r="P21" s="17"/>
    </row>
    <row r="23" spans="2:19" ht="15" thickBot="1" x14ac:dyDescent="0.35"/>
    <row r="24" spans="2:19" ht="15" thickBot="1" x14ac:dyDescent="0.35">
      <c r="I24" s="35" t="s">
        <v>23</v>
      </c>
      <c r="J24" s="26"/>
      <c r="K24" s="26"/>
      <c r="L24" s="26"/>
      <c r="M24" s="27" t="e">
        <f>Base_Rebate_Amount*Percent_Rebate_Claimable_Analysis</f>
        <v>#REF!</v>
      </c>
    </row>
    <row r="25" spans="2:19" ht="15" customHeight="1" x14ac:dyDescent="0.3"/>
    <row r="27" spans="2:19" ht="15" thickBot="1" x14ac:dyDescent="0.35"/>
    <row r="28" spans="2:19" ht="15" customHeight="1" x14ac:dyDescent="0.3">
      <c r="J28" s="18" t="s">
        <v>17</v>
      </c>
      <c r="K28" s="19" t="s">
        <v>38</v>
      </c>
      <c r="L28" s="20" t="s">
        <v>39</v>
      </c>
    </row>
    <row r="29" spans="2:19" x14ac:dyDescent="0.3">
      <c r="J29" s="40">
        <v>1</v>
      </c>
      <c r="K29" s="17">
        <f>Current_Rebate_Amt</f>
        <v>360.03999999999996</v>
      </c>
      <c r="L29" s="21" t="e" cm="1">
        <f t="array" ref="L29">VLOOKUP(County,#REF!,MATCH(TEXT(J29,0),#REF!,0),FALSE)*IF(Annual_Income_Analysis&gt;INDEX(#REF!,MATCH(County,#REF!,0),MATCH(TEXT(J29,0),#REF!,0)),
0,
IF(Annual_Income_Analysis&gt;INDEX(#REF!,MATCH(County,#REF!,0),MATCH(TEXT(J29,0),#REF!,0)),
(1-(Annual_Income_Analysis-INDEX(#REF!,MATCH(County,#REF!,0),MATCH(TEXT(J29,0),#REF!,0)))/(INDEX(#REF!,MATCH(County,#REF!,0),MATCH(TEXT(J29,0),#REF!,0))-INDEX(#REF!,MATCH(County,#REF!,0),MATCH(TEXT(J29,0),#REF!,0))))*100,
100))/100</f>
        <v>#REF!</v>
      </c>
    </row>
    <row r="30" spans="2:19" x14ac:dyDescent="0.3">
      <c r="J30" s="41">
        <v>2</v>
      </c>
      <c r="K30" s="22">
        <f>Current_Rebate_Amt</f>
        <v>360.03999999999996</v>
      </c>
      <c r="L30" s="23" t="e" cm="1">
        <f t="array" ref="L30">VLOOKUP(County,#REF!,MATCH(TEXT(J30,0),#REF!,0),FALSE)*IF(Annual_Income_Analysis&gt;INDEX(#REF!,MATCH(County,#REF!,0),MATCH(TEXT(J30,0),#REF!,0)),
0,
IF(Annual_Income_Analysis&gt;INDEX(#REF!,MATCH(County,#REF!,0),MATCH(TEXT(J30,0),#REF!,0)),
(1-(Annual_Income_Analysis-INDEX(#REF!,MATCH(County,#REF!,0),MATCH(TEXT(J30,0),#REF!,0)))/(INDEX(#REF!,MATCH(County,#REF!,0),MATCH(TEXT(J30,0),#REF!,0))-INDEX(#REF!,MATCH(County,#REF!,0),MATCH(TEXT(J30,0),#REF!,0))))*100,
100))/100</f>
        <v>#REF!</v>
      </c>
    </row>
    <row r="31" spans="2:19" x14ac:dyDescent="0.3">
      <c r="J31" s="40">
        <v>3</v>
      </c>
      <c r="K31" s="17">
        <f>Current_Rebate_Amt</f>
        <v>360.03999999999996</v>
      </c>
      <c r="L31" s="21" t="e" cm="1">
        <f t="array" ref="L31">VLOOKUP(County,#REF!,MATCH(TEXT(J31,0),#REF!,0),FALSE)*IF(Annual_Income_Analysis&gt;INDEX(#REF!,MATCH(County,#REF!,0),MATCH(TEXT(J31,0),#REF!,0)),
0,
IF(Annual_Income_Analysis&gt;INDEX(#REF!,MATCH(County,#REF!,0),MATCH(TEXT(J31,0),#REF!,0)),
(1-(Annual_Income_Analysis-INDEX(#REF!,MATCH(County,#REF!,0),MATCH(TEXT(J31,0),#REF!,0)))/(INDEX(#REF!,MATCH(County,#REF!,0),MATCH(TEXT(J31,0),#REF!,0))-INDEX(#REF!,MATCH(County,#REF!,0),MATCH(TEXT(J31,0),#REF!,0))))*100,
100))/100</f>
        <v>#REF!</v>
      </c>
    </row>
    <row r="32" spans="2:19" ht="15" thickBot="1" x14ac:dyDescent="0.35">
      <c r="J32" s="42">
        <v>4</v>
      </c>
      <c r="K32" s="29">
        <f>Current_Rebate_Amt</f>
        <v>360.03999999999996</v>
      </c>
      <c r="L32" s="30" t="e" cm="1">
        <f t="array" ref="L32">VLOOKUP(County,#REF!,MATCH(TEXT(J32,0),#REF!,0),FALSE)*IF(Annual_Income_Analysis&gt;INDEX(#REF!,MATCH(County,#REF!,0),MATCH(TEXT(J32,0),#REF!,0)),
0,
IF(Annual_Income_Analysis&gt;INDEX(#REF!,MATCH(County,#REF!,0),MATCH(TEXT(J32,0),#REF!,0)),
(1-(Annual_Income_Analysis-INDEX(#REF!,MATCH(County,#REF!,0),MATCH(TEXT(J32,0),#REF!,0)))/(INDEX(#REF!,MATCH(County,#REF!,0),MATCH(TEXT(J32,0),#REF!,0))-INDEX(#REF!,MATCH(County,#REF!,0),MATCH(TEXT(J32,0),#REF!,0))))*100,
100))/100</f>
        <v>#REF!</v>
      </c>
    </row>
    <row r="40" spans="2:2" x14ac:dyDescent="0.3">
      <c r="B40" t="s">
        <v>46</v>
      </c>
    </row>
    <row r="51" spans="2:7" x14ac:dyDescent="0.3">
      <c r="C51" s="16"/>
      <c r="D51" s="17"/>
      <c r="E51" s="17"/>
    </row>
    <row r="52" spans="2:7" x14ac:dyDescent="0.3">
      <c r="B52" t="s">
        <v>44</v>
      </c>
    </row>
    <row r="53" spans="2:7" x14ac:dyDescent="0.3">
      <c r="B53" s="33" t="s">
        <v>30</v>
      </c>
      <c r="C53" s="24"/>
      <c r="D53" s="24"/>
      <c r="E53" s="24"/>
      <c r="F53" s="25"/>
      <c r="G53" s="13">
        <v>37000</v>
      </c>
    </row>
    <row r="54" spans="2:7" x14ac:dyDescent="0.3">
      <c r="B54" s="56" t="s">
        <v>26</v>
      </c>
      <c r="C54" s="45"/>
      <c r="D54" s="45"/>
      <c r="E54" s="45"/>
      <c r="F54" s="57"/>
      <c r="G54" s="13">
        <v>877</v>
      </c>
    </row>
    <row r="55" spans="2:7" x14ac:dyDescent="0.3">
      <c r="B55" s="51" t="s">
        <v>45</v>
      </c>
      <c r="C55" s="60"/>
      <c r="D55" s="60"/>
      <c r="E55" s="60"/>
      <c r="F55" s="61"/>
      <c r="G55" s="55" t="str" cm="1">
        <f t="array" ref="G55">_xlfn.IFS(Annual_Income_Analysis&lt;=5000,"$0K - $5K",
Annual_Income_Analysis&lt;=10000,"$5K - $10K",
Annual_Income_Analysis&lt;=15000,"$10K - $15K",
Annual_Income_Analysis&lt;=20000,"$15K - $20K",
Annual_Income_Analysis&lt;=25000,"$20K - $25K",
Annual_Income_Analysis&lt;=30000,"$25K - $30K",
Annual_Income_Analysis&lt;=35000,"$30K - $35K",
Annual_Income_Analysis&lt;=40000,"$35K - $40K",
Annual_Income_Analysis&lt;=47000,"$40K - $47K",
Annual_Income_Analysis&gt;47000,"$47K+, Ineligible")</f>
        <v>$35K - $40K</v>
      </c>
    </row>
    <row r="56" spans="2:7" x14ac:dyDescent="0.3">
      <c r="B56" s="58" t="e">
        <f>"Avg Monthly Rent for Curr. Claimants, Inc " &amp; IncomeBand</f>
        <v>#REF!</v>
      </c>
      <c r="C56" s="59"/>
      <c r="D56" s="59"/>
      <c r="E56" s="59"/>
      <c r="F56" s="59"/>
      <c r="G56" s="54" t="e">
        <f>INDEX(#REF!,MATCH(G55,#REF!,0),MATCH(IF(County="","Overall Average",County),#REF!,0))</f>
        <v>#REF!</v>
      </c>
    </row>
    <row r="57" spans="2:7" x14ac:dyDescent="0.3">
      <c r="B57" s="52" t="e">
        <f>"Avg Total Rebate for Curr. Claimants, Inc " &amp; IncomeBand</f>
        <v>#REF!</v>
      </c>
      <c r="C57" s="53"/>
      <c r="D57" s="53"/>
      <c r="E57" s="53"/>
      <c r="F57" s="53"/>
      <c r="G57" s="54" t="e">
        <f>INDEX(#REF!,MATCH(G55,#REF!,0),MATCH(IF(County="","Overall Average",County),#REF!,0))</f>
        <v>#REF!</v>
      </c>
    </row>
    <row r="58" spans="2:7" x14ac:dyDescent="0.3">
      <c r="B58" s="52" t="e">
        <f>"Avg Monthly Rebate for Curr. Claimants, Inc " &amp; IncomeBand</f>
        <v>#REF!</v>
      </c>
      <c r="C58" s="53"/>
      <c r="D58" s="53"/>
      <c r="E58" s="53"/>
      <c r="F58" s="53"/>
      <c r="G58" s="54" t="e">
        <f>G57/12</f>
        <v>#REF!</v>
      </c>
    </row>
    <row r="59" spans="2:7" ht="15" thickBot="1" x14ac:dyDescent="0.35"/>
    <row r="60" spans="2:7" ht="15" thickBot="1" x14ac:dyDescent="0.35">
      <c r="B60" s="35" t="s">
        <v>28</v>
      </c>
      <c r="C60" s="26"/>
      <c r="D60" s="26"/>
      <c r="E60" s="26"/>
      <c r="F60" s="26"/>
      <c r="G60" s="27">
        <f>IF(Annual_Income_Analysis&lt;47001,MAX(MIN(21%*G54*12-IF(Annual_Income_Analysis&lt;10000,
                                                                                                                                                                  2%*Annual_Income_Analysis,
                                                                                                                                                                  IF(Annual_Income_Analysis&lt;25000,
                                                                                                                                                                       4.5%*Annual_Income_Analysis,
                                                                                                                                                                       IF(Annual_Income_Analysis&lt;47001,
                                                                                                                                                                             5%*Annual_Income_Analysis))),
                                                     3000),
                                         0),
                               0)</f>
        <v>360.03999999999996</v>
      </c>
    </row>
  </sheetData>
  <mergeCells count="3">
    <mergeCell ref="B5:G10"/>
    <mergeCell ref="I5:M10"/>
    <mergeCell ref="B13:G15"/>
  </mergeCells>
  <conditionalFormatting sqref="L29:L32">
    <cfRule type="cellIs" dxfId="0" priority="1" operator="equal">
      <formula>$M$24</formula>
    </cfRule>
  </conditionalFormatting>
  <dataValidations count="3">
    <dataValidation type="list" allowBlank="1" showInputMessage="1" showErrorMessage="1" error="Please select one of the county values from the dropdown menu." prompt="Note that &quot;Burlington Metro&quot; includes Chittenden, Grand Isle, and Franklin Counties." sqref="M13" xr:uid="{0CE0B33F-EA4E-4D76-A035-66710AA42C49}">
      <formula1>Counties</formula1>
    </dataValidation>
    <dataValidation allowBlank="1" showInputMessage="1" showErrorMessage="1" prompt="&quot;Allocable&quot; means the rent paid for the right of occupancy only - i.e. not including utilities or other expenses." sqref="G54" xr:uid="{C2B60118-36A6-4C2F-BF69-E3FA63868197}"/>
    <dataValidation type="whole" allowBlank="1" showInputMessage="1" showErrorMessage="1" error="Enter a value between 1 and 10" sqref="M21" xr:uid="{05DAA2B8-7AF5-4E3A-A082-3E91702129BB}">
      <formula1>1</formula1>
      <formula2>10</formula2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7</xdr:col>
                    <xdr:colOff>7620</xdr:colOff>
                    <xdr:row>8</xdr:row>
                    <xdr:rowOff>45720</xdr:rowOff>
                  </from>
                  <to>
                    <xdr:col>7</xdr:col>
                    <xdr:colOff>411480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F91C-2BAA-45A9-BEF7-81BA1ED8057E}">
  <sheetPr codeName="Sheet2"/>
  <dimension ref="B1:J37"/>
  <sheetViews>
    <sheetView showGridLines="0" zoomScale="85" zoomScaleNormal="85" workbookViewId="0">
      <selection activeCell="L26" sqref="L26"/>
    </sheetView>
  </sheetViews>
  <sheetFormatPr defaultRowHeight="14.4" x14ac:dyDescent="0.3"/>
  <cols>
    <col min="1" max="1" width="3.88671875" customWidth="1"/>
    <col min="2" max="2" width="17.44140625" customWidth="1"/>
    <col min="3" max="12" width="15.109375" customWidth="1"/>
  </cols>
  <sheetData>
    <row r="1" spans="2:10" x14ac:dyDescent="0.3">
      <c r="J1" s="81" t="s">
        <v>48</v>
      </c>
    </row>
    <row r="2" spans="2:10" ht="15" customHeight="1" x14ac:dyDescent="0.35">
      <c r="B2" s="1" t="s">
        <v>68</v>
      </c>
    </row>
    <row r="3" spans="2:10" ht="15" customHeight="1" x14ac:dyDescent="0.3">
      <c r="C3" s="6" t="s">
        <v>22</v>
      </c>
      <c r="D3" s="4"/>
      <c r="E3" s="4"/>
      <c r="F3" s="4"/>
      <c r="G3" s="4"/>
      <c r="H3" s="4"/>
      <c r="I3" s="4"/>
      <c r="J3" s="5"/>
    </row>
    <row r="4" spans="2:10" ht="30.75" customHeight="1" x14ac:dyDescent="0.3"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18</v>
      </c>
      <c r="H4" s="12" t="s">
        <v>19</v>
      </c>
      <c r="I4" s="12" t="s">
        <v>20</v>
      </c>
      <c r="J4" s="12" t="s">
        <v>21</v>
      </c>
    </row>
    <row r="5" spans="2:10" x14ac:dyDescent="0.3">
      <c r="B5" t="s">
        <v>6</v>
      </c>
      <c r="C5" s="7">
        <v>22900</v>
      </c>
      <c r="D5" s="7">
        <v>26200</v>
      </c>
      <c r="E5" s="7">
        <v>29450</v>
      </c>
      <c r="F5" s="7">
        <v>32700</v>
      </c>
      <c r="G5" s="7">
        <v>36580</v>
      </c>
      <c r="H5" s="7">
        <v>41960</v>
      </c>
      <c r="I5" s="7">
        <v>47340</v>
      </c>
      <c r="J5" s="7">
        <v>52720</v>
      </c>
    </row>
    <row r="6" spans="2:10" x14ac:dyDescent="0.3">
      <c r="B6" s="10" t="s">
        <v>7</v>
      </c>
      <c r="C6" s="8">
        <v>20950</v>
      </c>
      <c r="D6" s="8">
        <v>23950</v>
      </c>
      <c r="E6" s="8">
        <v>26950</v>
      </c>
      <c r="F6" s="8">
        <v>31200</v>
      </c>
      <c r="G6" s="8">
        <v>36580</v>
      </c>
      <c r="H6" s="8">
        <v>41960</v>
      </c>
      <c r="I6" s="8">
        <v>47340</v>
      </c>
      <c r="J6" s="8">
        <v>52720</v>
      </c>
    </row>
    <row r="7" spans="2:10" x14ac:dyDescent="0.3">
      <c r="B7" t="s">
        <v>8</v>
      </c>
      <c r="C7" s="8">
        <v>19950</v>
      </c>
      <c r="D7" s="8">
        <v>22800</v>
      </c>
      <c r="E7" s="8">
        <v>25820</v>
      </c>
      <c r="F7" s="8">
        <v>31200</v>
      </c>
      <c r="G7" s="8">
        <v>36580</v>
      </c>
      <c r="H7" s="8">
        <v>41960</v>
      </c>
      <c r="I7" s="8">
        <v>47340</v>
      </c>
      <c r="J7" s="8">
        <v>52720</v>
      </c>
    </row>
    <row r="8" spans="2:10" x14ac:dyDescent="0.3">
      <c r="B8" t="s">
        <v>51</v>
      </c>
      <c r="C8" s="7">
        <v>25000</v>
      </c>
      <c r="D8" s="7">
        <v>28550</v>
      </c>
      <c r="E8" s="7">
        <v>32100</v>
      </c>
      <c r="F8" s="7">
        <v>35650</v>
      </c>
      <c r="G8" s="7">
        <v>38550</v>
      </c>
      <c r="H8" s="7">
        <v>41960</v>
      </c>
      <c r="I8" s="7">
        <v>47340</v>
      </c>
      <c r="J8" s="7">
        <v>52720</v>
      </c>
    </row>
    <row r="9" spans="2:10" x14ac:dyDescent="0.3">
      <c r="B9" t="s">
        <v>9</v>
      </c>
      <c r="C9" s="7">
        <v>19950</v>
      </c>
      <c r="D9" s="7">
        <v>22800</v>
      </c>
      <c r="E9" s="7">
        <v>25820</v>
      </c>
      <c r="F9" s="7">
        <v>31200</v>
      </c>
      <c r="G9" s="7">
        <v>36580</v>
      </c>
      <c r="H9" s="7">
        <v>41960</v>
      </c>
      <c r="I9" s="7">
        <v>47340</v>
      </c>
      <c r="J9" s="7">
        <v>52720</v>
      </c>
    </row>
    <row r="10" spans="2:10" x14ac:dyDescent="0.3">
      <c r="B10" s="10" t="s">
        <v>49</v>
      </c>
      <c r="C10" s="96">
        <v>20980</v>
      </c>
      <c r="D10" s="96">
        <v>23980</v>
      </c>
      <c r="E10" s="96">
        <v>27070</v>
      </c>
      <c r="F10" s="96">
        <v>31730</v>
      </c>
      <c r="G10" s="96">
        <v>36740</v>
      </c>
      <c r="H10" s="96">
        <v>41960</v>
      </c>
      <c r="I10" s="96">
        <v>47340</v>
      </c>
      <c r="J10" s="96">
        <v>52720</v>
      </c>
    </row>
    <row r="11" spans="2:10" x14ac:dyDescent="0.3">
      <c r="B11" t="s">
        <v>50</v>
      </c>
      <c r="C11" s="96">
        <v>20980</v>
      </c>
      <c r="D11" s="96">
        <v>23980</v>
      </c>
      <c r="E11" s="96">
        <v>27070</v>
      </c>
      <c r="F11" s="96">
        <v>31730</v>
      </c>
      <c r="G11" s="96">
        <v>36740</v>
      </c>
      <c r="H11" s="96">
        <v>41960</v>
      </c>
      <c r="I11" s="96">
        <v>47340</v>
      </c>
      <c r="J11" s="96">
        <v>52720</v>
      </c>
    </row>
    <row r="12" spans="2:10" x14ac:dyDescent="0.3">
      <c r="B12" s="10" t="s">
        <v>10</v>
      </c>
      <c r="C12" s="8">
        <v>19950</v>
      </c>
      <c r="D12" s="8">
        <v>22800</v>
      </c>
      <c r="E12" s="8">
        <v>25820</v>
      </c>
      <c r="F12" s="8">
        <v>31200</v>
      </c>
      <c r="G12" s="8">
        <v>36580</v>
      </c>
      <c r="H12" s="8">
        <v>41960</v>
      </c>
      <c r="I12" s="8">
        <v>47340</v>
      </c>
      <c r="J12" s="8">
        <v>52720</v>
      </c>
    </row>
    <row r="13" spans="2:10" x14ac:dyDescent="0.3">
      <c r="B13" t="s">
        <v>11</v>
      </c>
      <c r="C13" s="7">
        <v>19950</v>
      </c>
      <c r="D13" s="7">
        <v>22800</v>
      </c>
      <c r="E13" s="7">
        <v>25820</v>
      </c>
      <c r="F13" s="7">
        <v>31200</v>
      </c>
      <c r="G13" s="7">
        <v>36580</v>
      </c>
      <c r="H13" s="7">
        <v>41960</v>
      </c>
      <c r="I13" s="7">
        <v>47340</v>
      </c>
      <c r="J13" s="7">
        <v>52720</v>
      </c>
    </row>
    <row r="14" spans="2:10" x14ac:dyDescent="0.3">
      <c r="B14" s="10" t="s">
        <v>12</v>
      </c>
      <c r="C14" s="8">
        <v>19950</v>
      </c>
      <c r="D14" s="8">
        <v>22800</v>
      </c>
      <c r="E14" s="8">
        <v>25820</v>
      </c>
      <c r="F14" s="8">
        <v>31200</v>
      </c>
      <c r="G14" s="8">
        <v>36580</v>
      </c>
      <c r="H14" s="8">
        <v>41960</v>
      </c>
      <c r="I14" s="8">
        <v>47340</v>
      </c>
      <c r="J14" s="8">
        <v>52720</v>
      </c>
    </row>
    <row r="15" spans="2:10" x14ac:dyDescent="0.3">
      <c r="B15" t="s">
        <v>13</v>
      </c>
      <c r="C15" s="7">
        <v>19950</v>
      </c>
      <c r="D15" s="7">
        <v>22800</v>
      </c>
      <c r="E15" s="7">
        <v>25820</v>
      </c>
      <c r="F15" s="7">
        <v>31200</v>
      </c>
      <c r="G15" s="7">
        <v>36580</v>
      </c>
      <c r="H15" s="7">
        <v>41960</v>
      </c>
      <c r="I15" s="7">
        <v>47340</v>
      </c>
      <c r="J15" s="7">
        <v>52720</v>
      </c>
    </row>
    <row r="16" spans="2:10" x14ac:dyDescent="0.3">
      <c r="B16" s="10" t="s">
        <v>14</v>
      </c>
      <c r="C16" s="8">
        <v>22150</v>
      </c>
      <c r="D16" s="8">
        <v>25300</v>
      </c>
      <c r="E16" s="8">
        <v>28450</v>
      </c>
      <c r="F16" s="8">
        <v>31600</v>
      </c>
      <c r="G16" s="8">
        <v>36580</v>
      </c>
      <c r="H16" s="8">
        <v>41960</v>
      </c>
      <c r="I16" s="8">
        <v>47340</v>
      </c>
      <c r="J16" s="8">
        <v>52720</v>
      </c>
    </row>
    <row r="17" spans="2:10" x14ac:dyDescent="0.3">
      <c r="B17" t="s">
        <v>15</v>
      </c>
      <c r="C17" s="7">
        <v>19950</v>
      </c>
      <c r="D17" s="7">
        <v>22800</v>
      </c>
      <c r="E17" s="7">
        <v>25820</v>
      </c>
      <c r="F17" s="7">
        <v>31200</v>
      </c>
      <c r="G17" s="7">
        <v>36580</v>
      </c>
      <c r="H17" s="7">
        <v>41960</v>
      </c>
      <c r="I17" s="7">
        <v>47340</v>
      </c>
      <c r="J17" s="7">
        <v>52720</v>
      </c>
    </row>
    <row r="18" spans="2:10" x14ac:dyDescent="0.3">
      <c r="B18" s="10" t="s">
        <v>16</v>
      </c>
      <c r="C18" s="8">
        <v>21150</v>
      </c>
      <c r="D18" s="8">
        <v>24150</v>
      </c>
      <c r="E18" s="8">
        <v>27150</v>
      </c>
      <c r="F18" s="8">
        <v>31200</v>
      </c>
      <c r="G18" s="8">
        <v>36580</v>
      </c>
      <c r="H18" s="8">
        <v>41960</v>
      </c>
      <c r="I18" s="8">
        <v>47340</v>
      </c>
      <c r="J18" s="8">
        <v>52720</v>
      </c>
    </row>
    <row r="20" spans="2:10" ht="15" x14ac:dyDescent="0.35">
      <c r="B20" s="3"/>
    </row>
    <row r="21" spans="2:10" ht="16.2" x14ac:dyDescent="0.35">
      <c r="B21" s="1" t="s">
        <v>67</v>
      </c>
      <c r="J21" s="9"/>
    </row>
    <row r="22" spans="2:10" x14ac:dyDescent="0.3">
      <c r="C22" s="82" t="s">
        <v>22</v>
      </c>
      <c r="D22" s="82"/>
      <c r="E22" s="82"/>
      <c r="F22" s="83"/>
      <c r="G22" s="83"/>
      <c r="H22" s="83"/>
      <c r="I22" s="83"/>
      <c r="J22" s="84"/>
    </row>
    <row r="23" spans="2:10" ht="15" x14ac:dyDescent="0.3">
      <c r="B23" s="12" t="s">
        <v>1</v>
      </c>
      <c r="C23" s="12" t="s">
        <v>2</v>
      </c>
      <c r="D23" s="12" t="s">
        <v>3</v>
      </c>
      <c r="E23" s="12" t="s">
        <v>4</v>
      </c>
      <c r="F23" s="12" t="s">
        <v>5</v>
      </c>
      <c r="G23" s="12" t="s">
        <v>18</v>
      </c>
      <c r="H23" s="12" t="s">
        <v>19</v>
      </c>
      <c r="I23" s="12" t="s">
        <v>20</v>
      </c>
      <c r="J23" s="12" t="s">
        <v>21</v>
      </c>
    </row>
    <row r="24" spans="2:10" x14ac:dyDescent="0.3">
      <c r="B24" t="s">
        <v>6</v>
      </c>
      <c r="C24" s="11">
        <v>49600</v>
      </c>
      <c r="D24" s="11">
        <v>56680</v>
      </c>
      <c r="E24" s="11">
        <v>63770</v>
      </c>
      <c r="F24" s="11">
        <v>70850</v>
      </c>
      <c r="G24" s="11">
        <v>76570</v>
      </c>
      <c r="H24" s="11">
        <v>82230</v>
      </c>
      <c r="I24" s="11">
        <v>87820</v>
      </c>
      <c r="J24" s="11">
        <v>93540</v>
      </c>
    </row>
    <row r="25" spans="2:10" x14ac:dyDescent="0.3">
      <c r="B25" s="10" t="s">
        <v>7</v>
      </c>
      <c r="C25" s="8">
        <v>45370</v>
      </c>
      <c r="D25" s="8">
        <v>51870</v>
      </c>
      <c r="E25" s="8">
        <v>58370</v>
      </c>
      <c r="F25" s="8">
        <v>64810</v>
      </c>
      <c r="G25" s="8">
        <v>70010</v>
      </c>
      <c r="H25" s="8">
        <v>75210</v>
      </c>
      <c r="I25" s="8">
        <v>80410</v>
      </c>
      <c r="J25" s="8">
        <v>85610</v>
      </c>
    </row>
    <row r="26" spans="2:10" x14ac:dyDescent="0.3">
      <c r="B26" t="s">
        <v>8</v>
      </c>
      <c r="C26" s="11">
        <v>43230</v>
      </c>
      <c r="D26" s="11">
        <v>49400</v>
      </c>
      <c r="E26" s="11">
        <v>55580</v>
      </c>
      <c r="F26" s="11">
        <v>61750</v>
      </c>
      <c r="G26" s="11">
        <v>66690</v>
      </c>
      <c r="H26" s="11">
        <v>71630</v>
      </c>
      <c r="I26" s="11">
        <v>76570</v>
      </c>
      <c r="J26" s="11">
        <v>81510</v>
      </c>
    </row>
    <row r="27" spans="2:10" x14ac:dyDescent="0.3">
      <c r="B27" t="s">
        <v>51</v>
      </c>
      <c r="C27" s="11">
        <v>54150</v>
      </c>
      <c r="D27" s="11">
        <v>61880</v>
      </c>
      <c r="E27" s="11">
        <v>69620</v>
      </c>
      <c r="F27" s="11">
        <v>77290</v>
      </c>
      <c r="G27" s="11">
        <v>83530</v>
      </c>
      <c r="H27" s="11">
        <v>89700</v>
      </c>
      <c r="I27" s="11">
        <v>95880</v>
      </c>
      <c r="J27" s="11">
        <v>102050</v>
      </c>
    </row>
    <row r="28" spans="2:10" x14ac:dyDescent="0.3">
      <c r="B28" t="s">
        <v>9</v>
      </c>
      <c r="C28" s="11">
        <v>43230</v>
      </c>
      <c r="D28" s="11">
        <v>49400</v>
      </c>
      <c r="E28" s="11">
        <v>55580</v>
      </c>
      <c r="F28" s="11">
        <v>61750</v>
      </c>
      <c r="G28" s="11">
        <v>66690</v>
      </c>
      <c r="H28" s="11">
        <v>71630</v>
      </c>
      <c r="I28" s="11">
        <v>76570</v>
      </c>
      <c r="J28" s="11">
        <v>81510</v>
      </c>
    </row>
    <row r="29" spans="2:10" x14ac:dyDescent="0.3">
      <c r="B29" s="10" t="s">
        <v>49</v>
      </c>
      <c r="C29" s="8">
        <v>45450</v>
      </c>
      <c r="D29" s="8">
        <v>51950</v>
      </c>
      <c r="E29" s="8">
        <v>58440</v>
      </c>
      <c r="F29" s="8">
        <v>64920</v>
      </c>
      <c r="G29" s="8">
        <v>70140</v>
      </c>
      <c r="H29" s="8">
        <v>75320</v>
      </c>
      <c r="I29" s="8">
        <v>80510</v>
      </c>
      <c r="J29" s="8">
        <v>85710</v>
      </c>
    </row>
    <row r="30" spans="2:10" x14ac:dyDescent="0.3">
      <c r="B30" t="s">
        <v>50</v>
      </c>
      <c r="C30" s="11">
        <v>45450</v>
      </c>
      <c r="D30" s="11">
        <v>51950</v>
      </c>
      <c r="E30" s="11">
        <v>58440</v>
      </c>
      <c r="F30" s="11">
        <v>64920</v>
      </c>
      <c r="G30" s="11">
        <v>70140</v>
      </c>
      <c r="H30" s="11">
        <v>75320</v>
      </c>
      <c r="I30" s="11">
        <v>80510</v>
      </c>
      <c r="J30" s="11">
        <v>85710</v>
      </c>
    </row>
    <row r="31" spans="2:10" x14ac:dyDescent="0.3">
      <c r="B31" s="10" t="s">
        <v>10</v>
      </c>
      <c r="C31" s="8">
        <v>43230</v>
      </c>
      <c r="D31" s="8">
        <v>49400</v>
      </c>
      <c r="E31" s="8">
        <v>55580</v>
      </c>
      <c r="F31" s="8">
        <v>61750</v>
      </c>
      <c r="G31" s="8">
        <v>66690</v>
      </c>
      <c r="H31" s="8">
        <v>71630</v>
      </c>
      <c r="I31" s="8">
        <v>76570</v>
      </c>
      <c r="J31" s="8">
        <v>81510</v>
      </c>
    </row>
    <row r="32" spans="2:10" x14ac:dyDescent="0.3">
      <c r="B32" t="s">
        <v>11</v>
      </c>
      <c r="C32" s="11">
        <v>43230</v>
      </c>
      <c r="D32" s="11">
        <v>49400</v>
      </c>
      <c r="E32" s="11">
        <v>55580</v>
      </c>
      <c r="F32" s="11">
        <v>61750</v>
      </c>
      <c r="G32" s="11">
        <v>66690</v>
      </c>
      <c r="H32" s="11">
        <v>71630</v>
      </c>
      <c r="I32" s="11">
        <v>76570</v>
      </c>
      <c r="J32" s="11">
        <v>81510</v>
      </c>
    </row>
    <row r="33" spans="2:10" x14ac:dyDescent="0.3">
      <c r="B33" s="10" t="s">
        <v>12</v>
      </c>
      <c r="C33" s="8">
        <v>43230</v>
      </c>
      <c r="D33" s="8">
        <v>49400</v>
      </c>
      <c r="E33" s="8">
        <v>55580</v>
      </c>
      <c r="F33" s="8">
        <v>61750</v>
      </c>
      <c r="G33" s="8">
        <v>66690</v>
      </c>
      <c r="H33" s="8">
        <v>71630</v>
      </c>
      <c r="I33" s="8">
        <v>76570</v>
      </c>
      <c r="J33" s="8">
        <v>81510</v>
      </c>
    </row>
    <row r="34" spans="2:10" x14ac:dyDescent="0.3">
      <c r="B34" t="s">
        <v>13</v>
      </c>
      <c r="C34" s="11">
        <v>43230</v>
      </c>
      <c r="D34" s="11">
        <v>49400</v>
      </c>
      <c r="E34" s="11">
        <v>55580</v>
      </c>
      <c r="F34" s="11">
        <v>61750</v>
      </c>
      <c r="G34" s="11">
        <v>66690</v>
      </c>
      <c r="H34" s="11">
        <v>71630</v>
      </c>
      <c r="I34" s="11">
        <v>76570</v>
      </c>
      <c r="J34" s="11">
        <v>81510</v>
      </c>
    </row>
    <row r="35" spans="2:10" x14ac:dyDescent="0.3">
      <c r="B35" s="10" t="s">
        <v>14</v>
      </c>
      <c r="C35" s="8">
        <v>47970</v>
      </c>
      <c r="D35" s="8">
        <v>54860</v>
      </c>
      <c r="E35" s="8">
        <v>61690</v>
      </c>
      <c r="F35" s="8">
        <v>68510</v>
      </c>
      <c r="G35" s="8">
        <v>74040</v>
      </c>
      <c r="H35" s="8">
        <v>79500</v>
      </c>
      <c r="I35" s="8">
        <v>84960</v>
      </c>
      <c r="J35" s="8">
        <v>90480</v>
      </c>
    </row>
    <row r="36" spans="2:10" x14ac:dyDescent="0.3">
      <c r="B36" t="s">
        <v>15</v>
      </c>
      <c r="C36" s="11">
        <v>43230</v>
      </c>
      <c r="D36" s="11">
        <v>49400</v>
      </c>
      <c r="E36" s="11">
        <v>55580</v>
      </c>
      <c r="F36" s="11">
        <v>61750</v>
      </c>
      <c r="G36" s="11">
        <v>66690</v>
      </c>
      <c r="H36" s="11">
        <v>71630</v>
      </c>
      <c r="I36" s="11">
        <v>76570</v>
      </c>
      <c r="J36" s="11">
        <v>81510</v>
      </c>
    </row>
    <row r="37" spans="2:10" x14ac:dyDescent="0.3">
      <c r="B37" s="10" t="s">
        <v>16</v>
      </c>
      <c r="C37" s="8">
        <v>45760</v>
      </c>
      <c r="D37" s="8">
        <v>52260</v>
      </c>
      <c r="E37" s="8">
        <v>58830</v>
      </c>
      <c r="F37" s="8">
        <v>65330</v>
      </c>
      <c r="G37" s="8">
        <v>70590</v>
      </c>
      <c r="H37" s="8">
        <v>75790</v>
      </c>
      <c r="I37" s="8">
        <v>81060</v>
      </c>
      <c r="J37" s="8">
        <v>86260</v>
      </c>
    </row>
  </sheetData>
  <conditionalFormatting sqref="C24:J37 C5:J1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1" location="Calculator!A1" display="Calculator" xr:uid="{07DF129E-7038-4136-917D-6CDF7820AAFC}"/>
  </hyperlink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A6D8-35DF-4D47-B2A9-B4A2FC7032DE}">
  <sheetPr codeName="Sheet3"/>
  <dimension ref="B1:J19"/>
  <sheetViews>
    <sheetView showGridLines="0" zoomScale="85" zoomScaleNormal="85" workbookViewId="0">
      <selection activeCell="N18" sqref="N18"/>
    </sheetView>
  </sheetViews>
  <sheetFormatPr defaultColWidth="9.109375" defaultRowHeight="14.4" x14ac:dyDescent="0.3"/>
  <cols>
    <col min="1" max="1" width="3.88671875" customWidth="1"/>
    <col min="2" max="2" width="17.44140625" customWidth="1"/>
    <col min="3" max="10" width="15.109375" customWidth="1"/>
  </cols>
  <sheetData>
    <row r="1" spans="2:10" x14ac:dyDescent="0.3">
      <c r="D1" s="85"/>
      <c r="J1" s="86" t="s">
        <v>48</v>
      </c>
    </row>
    <row r="2" spans="2:10" ht="15" customHeight="1" x14ac:dyDescent="0.3">
      <c r="B2" s="88"/>
      <c r="C2" s="80"/>
      <c r="D2" s="80"/>
      <c r="E2" s="80"/>
      <c r="F2" s="80"/>
      <c r="G2" s="80"/>
      <c r="H2" s="80"/>
      <c r="I2" s="80"/>
      <c r="J2" s="80"/>
    </row>
    <row r="3" spans="2:10" ht="15" customHeight="1" x14ac:dyDescent="0.35">
      <c r="B3" s="1" t="s">
        <v>75</v>
      </c>
    </row>
    <row r="4" spans="2:10" ht="15" customHeight="1" x14ac:dyDescent="0.35">
      <c r="B4" s="1"/>
      <c r="C4" s="87" t="s">
        <v>47</v>
      </c>
      <c r="D4" s="4"/>
      <c r="E4" s="4"/>
      <c r="F4" s="4"/>
      <c r="G4" s="4"/>
      <c r="H4" s="4"/>
      <c r="I4" s="4"/>
      <c r="J4" s="5"/>
    </row>
    <row r="5" spans="2:10" ht="30.75" customHeight="1" x14ac:dyDescent="0.3">
      <c r="B5" s="89" t="s">
        <v>1</v>
      </c>
      <c r="C5" s="89" t="s">
        <v>2</v>
      </c>
      <c r="D5" s="89" t="s">
        <v>3</v>
      </c>
      <c r="E5" s="89" t="s">
        <v>4</v>
      </c>
      <c r="F5" s="90" t="s">
        <v>5</v>
      </c>
      <c r="G5" s="89" t="s">
        <v>18</v>
      </c>
      <c r="H5" s="89" t="s">
        <v>19</v>
      </c>
      <c r="I5" s="89" t="s">
        <v>20</v>
      </c>
      <c r="J5" s="89" t="s">
        <v>21</v>
      </c>
    </row>
    <row r="6" spans="2:10" x14ac:dyDescent="0.3">
      <c r="B6" s="88" t="s">
        <v>6</v>
      </c>
      <c r="C6" s="80">
        <v>1274</v>
      </c>
      <c r="D6" s="80">
        <v>1598</v>
      </c>
      <c r="E6" s="80">
        <v>2089</v>
      </c>
      <c r="F6" s="80">
        <v>2129</v>
      </c>
      <c r="G6" s="80">
        <v>2129</v>
      </c>
      <c r="H6" s="80">
        <v>2129</v>
      </c>
      <c r="I6" s="80">
        <v>2129</v>
      </c>
      <c r="J6" s="80">
        <v>2129</v>
      </c>
    </row>
    <row r="7" spans="2:10" x14ac:dyDescent="0.3">
      <c r="B7" s="88" t="s">
        <v>7</v>
      </c>
      <c r="C7" s="80">
        <v>1207</v>
      </c>
      <c r="D7" s="80">
        <v>1489</v>
      </c>
      <c r="E7" s="80">
        <v>1970</v>
      </c>
      <c r="F7" s="80">
        <v>2315</v>
      </c>
      <c r="G7" s="80">
        <v>2315</v>
      </c>
      <c r="H7" s="80">
        <v>2315</v>
      </c>
      <c r="I7" s="80">
        <v>2315</v>
      </c>
      <c r="J7" s="80">
        <v>2315</v>
      </c>
    </row>
    <row r="8" spans="2:10" x14ac:dyDescent="0.3">
      <c r="B8" s="88" t="s">
        <v>8</v>
      </c>
      <c r="C8" s="80">
        <v>1106</v>
      </c>
      <c r="D8" s="80">
        <v>1282</v>
      </c>
      <c r="E8" s="80">
        <v>1668</v>
      </c>
      <c r="F8" s="80">
        <v>1988</v>
      </c>
      <c r="G8" s="80">
        <v>1988</v>
      </c>
      <c r="H8" s="80">
        <v>1988</v>
      </c>
      <c r="I8" s="80">
        <v>1988</v>
      </c>
      <c r="J8" s="80">
        <v>1988</v>
      </c>
    </row>
    <row r="9" spans="2:10" x14ac:dyDescent="0.3">
      <c r="B9" s="88" t="s">
        <v>51</v>
      </c>
      <c r="C9" s="80">
        <v>1729</v>
      </c>
      <c r="D9" s="80">
        <v>2264</v>
      </c>
      <c r="E9" s="80">
        <v>2500</v>
      </c>
      <c r="F9" s="80">
        <v>2500</v>
      </c>
      <c r="G9" s="80">
        <v>2500</v>
      </c>
      <c r="H9" s="80">
        <v>2500</v>
      </c>
      <c r="I9" s="80">
        <v>2500</v>
      </c>
      <c r="J9" s="80">
        <v>2500</v>
      </c>
    </row>
    <row r="10" spans="2:10" x14ac:dyDescent="0.3">
      <c r="B10" s="88" t="s">
        <v>9</v>
      </c>
      <c r="C10" s="80">
        <v>1001</v>
      </c>
      <c r="D10" s="80">
        <v>1123</v>
      </c>
      <c r="E10" s="80">
        <v>1561</v>
      </c>
      <c r="F10" s="80">
        <v>1583</v>
      </c>
      <c r="G10" s="80">
        <v>1583</v>
      </c>
      <c r="H10" s="80">
        <v>1583</v>
      </c>
      <c r="I10" s="80">
        <v>1583</v>
      </c>
      <c r="J10" s="80">
        <v>1583</v>
      </c>
    </row>
    <row r="11" spans="2:10" x14ac:dyDescent="0.3">
      <c r="B11" s="88" t="s">
        <v>49</v>
      </c>
      <c r="C11" s="80">
        <v>1254</v>
      </c>
      <c r="D11" s="80">
        <v>1540</v>
      </c>
      <c r="E11" s="80">
        <v>1996</v>
      </c>
      <c r="F11" s="80">
        <v>2160</v>
      </c>
      <c r="G11" s="80">
        <v>2160</v>
      </c>
      <c r="H11" s="80">
        <v>2160</v>
      </c>
      <c r="I11" s="80">
        <v>2160</v>
      </c>
      <c r="J11" s="80">
        <v>2160</v>
      </c>
    </row>
    <row r="12" spans="2:10" x14ac:dyDescent="0.3">
      <c r="B12" s="88" t="s">
        <v>50</v>
      </c>
      <c r="C12" s="80">
        <v>1254</v>
      </c>
      <c r="D12" s="80">
        <v>1540</v>
      </c>
      <c r="E12" s="80">
        <v>1996</v>
      </c>
      <c r="F12" s="80">
        <v>2160</v>
      </c>
      <c r="G12" s="80">
        <v>2160</v>
      </c>
      <c r="H12" s="80">
        <v>2160</v>
      </c>
      <c r="I12" s="80">
        <v>2160</v>
      </c>
      <c r="J12" s="80">
        <v>2160</v>
      </c>
    </row>
    <row r="13" spans="2:10" x14ac:dyDescent="0.3">
      <c r="B13" s="88" t="s">
        <v>10</v>
      </c>
      <c r="C13" s="80">
        <v>1180</v>
      </c>
      <c r="D13" s="80">
        <v>1549</v>
      </c>
      <c r="E13" s="80">
        <v>2056</v>
      </c>
      <c r="F13" s="80">
        <v>2063</v>
      </c>
      <c r="G13" s="80">
        <v>2063</v>
      </c>
      <c r="H13" s="80">
        <v>2063</v>
      </c>
      <c r="I13" s="80">
        <v>2063</v>
      </c>
      <c r="J13" s="80">
        <v>2063</v>
      </c>
    </row>
    <row r="14" spans="2:10" x14ac:dyDescent="0.3">
      <c r="B14" s="88" t="s">
        <v>11</v>
      </c>
      <c r="C14" s="80">
        <v>1204</v>
      </c>
      <c r="D14" s="80">
        <v>1493</v>
      </c>
      <c r="E14" s="80">
        <v>1921</v>
      </c>
      <c r="F14" s="80">
        <v>2005</v>
      </c>
      <c r="G14" s="80">
        <v>2005</v>
      </c>
      <c r="H14" s="80">
        <v>2005</v>
      </c>
      <c r="I14" s="80">
        <v>2005</v>
      </c>
      <c r="J14" s="80">
        <v>2005</v>
      </c>
    </row>
    <row r="15" spans="2:10" x14ac:dyDescent="0.3">
      <c r="B15" s="88" t="s">
        <v>12</v>
      </c>
      <c r="C15" s="80">
        <v>1156</v>
      </c>
      <c r="D15" s="80">
        <v>1297</v>
      </c>
      <c r="E15" s="80">
        <v>1681</v>
      </c>
      <c r="F15" s="80">
        <v>1829</v>
      </c>
      <c r="G15" s="80">
        <v>1829</v>
      </c>
      <c r="H15" s="80">
        <v>1829</v>
      </c>
      <c r="I15" s="80">
        <v>1829</v>
      </c>
      <c r="J15" s="80">
        <v>1829</v>
      </c>
    </row>
    <row r="16" spans="2:10" x14ac:dyDescent="0.3">
      <c r="B16" s="88" t="s">
        <v>13</v>
      </c>
      <c r="C16" s="80">
        <v>1196</v>
      </c>
      <c r="D16" s="80">
        <v>1469</v>
      </c>
      <c r="E16" s="80">
        <v>1873</v>
      </c>
      <c r="F16" s="80">
        <v>2405</v>
      </c>
      <c r="G16" s="80">
        <v>2405</v>
      </c>
      <c r="H16" s="80">
        <v>2405</v>
      </c>
      <c r="I16" s="80">
        <v>2405</v>
      </c>
      <c r="J16" s="80">
        <v>2405</v>
      </c>
    </row>
    <row r="17" spans="2:10" x14ac:dyDescent="0.3">
      <c r="B17" s="88" t="s">
        <v>14</v>
      </c>
      <c r="C17" s="80">
        <v>1327</v>
      </c>
      <c r="D17" s="80">
        <v>1744</v>
      </c>
      <c r="E17" s="80">
        <v>2198</v>
      </c>
      <c r="F17" s="80">
        <v>2370</v>
      </c>
      <c r="G17" s="80">
        <v>2370</v>
      </c>
      <c r="H17" s="80">
        <v>2370</v>
      </c>
      <c r="I17" s="80">
        <v>2370</v>
      </c>
      <c r="J17" s="80">
        <v>2370</v>
      </c>
    </row>
    <row r="18" spans="2:10" x14ac:dyDescent="0.3">
      <c r="B18" s="88" t="s">
        <v>15</v>
      </c>
      <c r="C18" s="80">
        <v>1309</v>
      </c>
      <c r="D18" s="80">
        <v>1608</v>
      </c>
      <c r="E18" s="80">
        <v>1986</v>
      </c>
      <c r="F18" s="80">
        <v>2142</v>
      </c>
      <c r="G18" s="80">
        <v>2142</v>
      </c>
      <c r="H18" s="80">
        <v>2142</v>
      </c>
      <c r="I18" s="80">
        <v>2142</v>
      </c>
      <c r="J18" s="80">
        <v>2142</v>
      </c>
    </row>
    <row r="19" spans="2:10" x14ac:dyDescent="0.3">
      <c r="B19" s="88" t="s">
        <v>16</v>
      </c>
      <c r="C19" s="80">
        <v>1363</v>
      </c>
      <c r="D19" s="80">
        <v>1560</v>
      </c>
      <c r="E19" s="80">
        <v>2070</v>
      </c>
      <c r="F19" s="80">
        <v>2077</v>
      </c>
      <c r="G19" s="80">
        <v>2077</v>
      </c>
      <c r="H19" s="80">
        <v>2077</v>
      </c>
      <c r="I19" s="80">
        <v>2077</v>
      </c>
      <c r="J19" s="80">
        <v>2077</v>
      </c>
    </row>
  </sheetData>
  <hyperlinks>
    <hyperlink ref="J1" location="Calculator!A1" display="Calculator" xr:uid="{31EB5A75-7C5B-4E87-B913-62C5AD44A1D2}"/>
  </hyperlinks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3D999E6-1446-4A2E-984B-38AF20E10D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Calculator</vt:lpstr>
      <vt:lpstr>Income</vt:lpstr>
      <vt:lpstr>By Inc Bracket</vt:lpstr>
      <vt:lpstr>2024 Income Limits</vt:lpstr>
      <vt:lpstr>Base Credit Amounts</vt:lpstr>
      <vt:lpstr>Annual_Income_Analysis</vt:lpstr>
      <vt:lpstr>Calculator!Base_Credit</vt:lpstr>
      <vt:lpstr>Base_Credit_Analysis</vt:lpstr>
      <vt:lpstr>Base_Credit_Subsidized</vt:lpstr>
      <vt:lpstr>Calculator!Base_Rebate_Amount</vt:lpstr>
      <vt:lpstr>Base_Rebate_Amount</vt:lpstr>
      <vt:lpstr>Calculator!County</vt:lpstr>
      <vt:lpstr>County</vt:lpstr>
      <vt:lpstr>Current_Rebate_Amt</vt:lpstr>
      <vt:lpstr>Calculator!ELIThreshold</vt:lpstr>
      <vt:lpstr>ELIThreshold</vt:lpstr>
      <vt:lpstr>Calculator!Household_Size</vt:lpstr>
      <vt:lpstr>Household_Size_Analysis</vt:lpstr>
      <vt:lpstr>IncomeBand</vt:lpstr>
      <vt:lpstr>Monthly_Rent_Analysis</vt:lpstr>
      <vt:lpstr>Calculator!Percent_Rebate_Claimable</vt:lpstr>
      <vt:lpstr>Percent_Rebate_Claimable_Analysis</vt:lpstr>
      <vt:lpstr>Calculator!Print_Area</vt:lpstr>
      <vt:lpstr>Calculator!Reform_Rebate_Amount</vt:lpstr>
      <vt:lpstr>Reform_Rebate_Amount</vt:lpstr>
      <vt:lpstr>SharedOccupant</vt:lpstr>
      <vt:lpstr>Calculator!VLIThreshold</vt:lpstr>
      <vt:lpstr>VLIThreshold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Morris</dc:creator>
  <cp:lastModifiedBy>Feldman, Jake</cp:lastModifiedBy>
  <dcterms:created xsi:type="dcterms:W3CDTF">2019-02-12T16:43:33Z</dcterms:created>
  <dcterms:modified xsi:type="dcterms:W3CDTF">2024-10-21T10:29:18Z</dcterms:modified>
</cp:coreProperties>
</file>